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ashif Javaid\Dropbox\ACS Consulting New\Financial Models For Website\"/>
    </mc:Choice>
  </mc:AlternateContent>
  <xr:revisionPtr revIDLastSave="0" documentId="13_ncr:1_{FB082D70-7E2D-488D-A4A1-CBE8F87802E9}" xr6:coauthVersionLast="44" xr6:coauthVersionMax="44" xr10:uidLastSave="{00000000-0000-0000-0000-000000000000}"/>
  <bookViews>
    <workbookView xWindow="-110" yWindow="-110" windowWidth="19420" windowHeight="10420" tabRatio="634" xr2:uid="{00000000-000D-0000-FFFF-FFFF00000000}"/>
  </bookViews>
  <sheets>
    <sheet name="Cover Page" sheetId="3" r:id="rId1"/>
    <sheet name="Startup E-Commerce" sheetId="1" r:id="rId2"/>
  </sheets>
  <definedNames>
    <definedName name="CIQWBGuid" hidden="1">"3a76856e-063b-4329-b2c5-ae285df6792b"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41887.7188541667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7" i="1" l="1"/>
  <c r="E248" i="1"/>
  <c r="F248" i="1"/>
  <c r="G248" i="1"/>
  <c r="H248" i="1"/>
  <c r="I248" i="1"/>
  <c r="J248" i="1"/>
  <c r="K248" i="1"/>
  <c r="J209" i="1"/>
  <c r="J234" i="1"/>
  <c r="F2" i="1"/>
  <c r="A220" i="1" s="1"/>
  <c r="G2" i="1"/>
  <c r="I209" i="1"/>
  <c r="I233" i="1" s="1"/>
  <c r="H209" i="1"/>
  <c r="H232" i="1" s="1"/>
  <c r="G209" i="1"/>
  <c r="G231" i="1" s="1"/>
  <c r="F209" i="1"/>
  <c r="F230" i="1" s="1"/>
  <c r="E209" i="1"/>
  <c r="E229" i="1"/>
  <c r="A229" i="1"/>
  <c r="J208" i="1"/>
  <c r="J224" i="1" s="1"/>
  <c r="I208" i="1"/>
  <c r="I223" i="1" s="1"/>
  <c r="H208" i="1"/>
  <c r="H222" i="1" s="1"/>
  <c r="G208" i="1"/>
  <c r="G221" i="1" s="1"/>
  <c r="F208" i="1"/>
  <c r="F220" i="1" s="1"/>
  <c r="E208" i="1"/>
  <c r="A219" i="1"/>
  <c r="D314" i="1"/>
  <c r="D290" i="1"/>
  <c r="D289" i="1"/>
  <c r="F16" i="1"/>
  <c r="F17" i="1"/>
  <c r="F31" i="1" s="1"/>
  <c r="F18" i="1"/>
  <c r="F32" i="1" s="1"/>
  <c r="F19" i="1"/>
  <c r="F33" i="1" s="1"/>
  <c r="F43" i="1"/>
  <c r="F44" i="1" s="1"/>
  <c r="F66" i="1"/>
  <c r="F126" i="1"/>
  <c r="F77" i="1"/>
  <c r="F127" i="1" s="1"/>
  <c r="G16" i="1"/>
  <c r="G30" i="1" s="1"/>
  <c r="G17" i="1"/>
  <c r="G31" i="1" s="1"/>
  <c r="G18" i="1"/>
  <c r="G32" i="1" s="1"/>
  <c r="G19" i="1"/>
  <c r="G33" i="1" s="1"/>
  <c r="G43" i="1"/>
  <c r="G44" i="1" s="1"/>
  <c r="G66" i="1"/>
  <c r="G126" i="1"/>
  <c r="G77" i="1"/>
  <c r="G127" i="1" s="1"/>
  <c r="H16" i="1"/>
  <c r="H30" i="1" s="1"/>
  <c r="H17" i="1"/>
  <c r="H31" i="1" s="1"/>
  <c r="H18" i="1"/>
  <c r="H32" i="1" s="1"/>
  <c r="H19" i="1"/>
  <c r="H33" i="1" s="1"/>
  <c r="H43" i="1"/>
  <c r="H44" i="1" s="1"/>
  <c r="H66" i="1"/>
  <c r="H126" i="1"/>
  <c r="H77" i="1"/>
  <c r="H127" i="1" s="1"/>
  <c r="I16" i="1"/>
  <c r="I30" i="1" s="1"/>
  <c r="I17" i="1"/>
  <c r="I31" i="1" s="1"/>
  <c r="I18" i="1"/>
  <c r="I32" i="1" s="1"/>
  <c r="I19" i="1"/>
  <c r="I33" i="1" s="1"/>
  <c r="I43" i="1"/>
  <c r="I44" i="1" s="1"/>
  <c r="I66" i="1"/>
  <c r="I126" i="1"/>
  <c r="I77" i="1"/>
  <c r="I127" i="1" s="1"/>
  <c r="J16" i="1"/>
  <c r="J17" i="1"/>
  <c r="J31" i="1" s="1"/>
  <c r="J18" i="1"/>
  <c r="J32" i="1" s="1"/>
  <c r="J19" i="1"/>
  <c r="J33" i="1" s="1"/>
  <c r="J43" i="1"/>
  <c r="J44" i="1" s="1"/>
  <c r="J66" i="1"/>
  <c r="J126" i="1"/>
  <c r="J77" i="1"/>
  <c r="J127" i="1" s="1"/>
  <c r="K16" i="1"/>
  <c r="K30" i="1" s="1"/>
  <c r="K17" i="1"/>
  <c r="K31" i="1" s="1"/>
  <c r="K18" i="1"/>
  <c r="K32" i="1" s="1"/>
  <c r="K19" i="1"/>
  <c r="K33" i="1" s="1"/>
  <c r="K43" i="1"/>
  <c r="K44" i="1" s="1"/>
  <c r="K66" i="1"/>
  <c r="K126" i="1"/>
  <c r="K77" i="1"/>
  <c r="K127" i="1" s="1"/>
  <c r="K209" i="1"/>
  <c r="K235" i="1" s="1"/>
  <c r="K208" i="1"/>
  <c r="E16" i="1"/>
  <c r="E30" i="1" s="1"/>
  <c r="E17" i="1"/>
  <c r="E31" i="1" s="1"/>
  <c r="E18" i="1"/>
  <c r="E32" i="1" s="1"/>
  <c r="E19" i="1"/>
  <c r="E33" i="1" s="1"/>
  <c r="E43" i="1"/>
  <c r="E44" i="1" s="1"/>
  <c r="E66" i="1"/>
  <c r="E126" i="1"/>
  <c r="E77" i="1"/>
  <c r="E127" i="1" s="1"/>
  <c r="E272" i="1"/>
  <c r="E193" i="1"/>
  <c r="F182" i="1"/>
  <c r="G182" i="1"/>
  <c r="H182" i="1"/>
  <c r="I182" i="1"/>
  <c r="J182" i="1"/>
  <c r="K182" i="1"/>
  <c r="E182" i="1"/>
  <c r="E204" i="1"/>
  <c r="E203" i="1"/>
  <c r="E162" i="1"/>
  <c r="E187" i="1" s="1"/>
  <c r="K139" i="1"/>
  <c r="K188" i="1" s="1"/>
  <c r="J139" i="1"/>
  <c r="J188" i="1" s="1"/>
  <c r="I139" i="1"/>
  <c r="I188" i="1" s="1"/>
  <c r="H139" i="1"/>
  <c r="H188" i="1" s="1"/>
  <c r="G139" i="1"/>
  <c r="G188" i="1" s="1"/>
  <c r="F139" i="1"/>
  <c r="F188" i="1" s="1"/>
  <c r="E139" i="1"/>
  <c r="E188" i="1" s="1"/>
  <c r="E105" i="1"/>
  <c r="F105" i="1" s="1"/>
  <c r="G105" i="1" s="1"/>
  <c r="H105" i="1" s="1"/>
  <c r="I105" i="1" s="1"/>
  <c r="J105" i="1" s="1"/>
  <c r="K105" i="1" s="1"/>
  <c r="K83" i="1"/>
  <c r="J83" i="1"/>
  <c r="I83" i="1"/>
  <c r="H83" i="1"/>
  <c r="G83" i="1"/>
  <c r="F83" i="1"/>
  <c r="E83" i="1"/>
  <c r="K12" i="1"/>
  <c r="J12" i="1"/>
  <c r="I12" i="1"/>
  <c r="H12" i="1"/>
  <c r="G12" i="1"/>
  <c r="F12" i="1"/>
  <c r="E12" i="1"/>
  <c r="E236" i="1"/>
  <c r="G220" i="1" l="1"/>
  <c r="F210" i="1"/>
  <c r="H13" i="1"/>
  <c r="F229" i="1"/>
  <c r="G229" i="1" s="1"/>
  <c r="I128" i="1"/>
  <c r="F13" i="1"/>
  <c r="J128" i="1"/>
  <c r="E249" i="1"/>
  <c r="E159" i="1" s="1"/>
  <c r="E186" i="1" s="1"/>
  <c r="E189" i="1" s="1"/>
  <c r="F128" i="1"/>
  <c r="G13" i="1"/>
  <c r="A230" i="1"/>
  <c r="G230" i="1" s="1"/>
  <c r="I20" i="1"/>
  <c r="I60" i="1" s="1"/>
  <c r="I119" i="1" s="1"/>
  <c r="I256" i="1" s="1"/>
  <c r="H128" i="1"/>
  <c r="G128" i="1"/>
  <c r="G210" i="1"/>
  <c r="G181" i="1" s="1"/>
  <c r="G183" i="1" s="1"/>
  <c r="K34" i="1"/>
  <c r="K110" i="1" s="1"/>
  <c r="E128" i="1"/>
  <c r="J210" i="1"/>
  <c r="J181" i="1" s="1"/>
  <c r="J183" i="1" s="1"/>
  <c r="K13" i="1"/>
  <c r="H34" i="1"/>
  <c r="H120" i="1" s="1"/>
  <c r="G49" i="1"/>
  <c r="J49" i="1"/>
  <c r="A221" i="1"/>
  <c r="K49" i="1"/>
  <c r="A231" i="1"/>
  <c r="I210" i="1"/>
  <c r="I283" i="1" s="1"/>
  <c r="J13" i="1"/>
  <c r="I13" i="1"/>
  <c r="E49" i="1"/>
  <c r="E50" i="1" s="1"/>
  <c r="E34" i="1"/>
  <c r="E120" i="1" s="1"/>
  <c r="E219" i="1"/>
  <c r="E213" i="1"/>
  <c r="E210" i="1"/>
  <c r="K114" i="1"/>
  <c r="K148" i="1" s="1"/>
  <c r="K210" i="1"/>
  <c r="K225" i="1"/>
  <c r="F30" i="1"/>
  <c r="F34" i="1" s="1"/>
  <c r="F20" i="1"/>
  <c r="F60" i="1" s="1"/>
  <c r="F119" i="1" s="1"/>
  <c r="F283" i="1"/>
  <c r="F181" i="1"/>
  <c r="F183" i="1" s="1"/>
  <c r="J30" i="1"/>
  <c r="J34" i="1" s="1"/>
  <c r="J20" i="1"/>
  <c r="J60" i="1" s="1"/>
  <c r="J119" i="1" s="1"/>
  <c r="I49" i="1"/>
  <c r="I34" i="1"/>
  <c r="E20" i="1"/>
  <c r="E60" i="1" s="1"/>
  <c r="E119" i="1" s="1"/>
  <c r="F162" i="1"/>
  <c r="H49" i="1"/>
  <c r="G34" i="1"/>
  <c r="K20" i="1"/>
  <c r="H20" i="1"/>
  <c r="H60" i="1" s="1"/>
  <c r="H119" i="1" s="1"/>
  <c r="G20" i="1"/>
  <c r="G60" i="1" s="1"/>
  <c r="G119" i="1" s="1"/>
  <c r="F49" i="1"/>
  <c r="H210" i="1"/>
  <c r="H2" i="1"/>
  <c r="K128" i="1"/>
  <c r="E205" i="1"/>
  <c r="E214" i="1"/>
  <c r="E242" i="1" s="1"/>
  <c r="K120" i="1" l="1"/>
  <c r="H111" i="1"/>
  <c r="K111" i="1"/>
  <c r="H110" i="1"/>
  <c r="H112" i="1" s="1"/>
  <c r="J283" i="1"/>
  <c r="F247" i="1"/>
  <c r="F249" i="1" s="1"/>
  <c r="G247" i="1" s="1"/>
  <c r="G249" i="1" s="1"/>
  <c r="F236" i="1"/>
  <c r="I181" i="1"/>
  <c r="I183" i="1" s="1"/>
  <c r="E251" i="1"/>
  <c r="E133" i="1" s="1"/>
  <c r="E280" i="1" s="1"/>
  <c r="G283" i="1"/>
  <c r="H114" i="1"/>
  <c r="H148" i="1" s="1"/>
  <c r="F159" i="1"/>
  <c r="F186" i="1" s="1"/>
  <c r="G236" i="1"/>
  <c r="F251" i="1"/>
  <c r="F133" i="1" s="1"/>
  <c r="F280" i="1" s="1"/>
  <c r="E51" i="1"/>
  <c r="E52" i="1" s="1"/>
  <c r="F48" i="1" s="1"/>
  <c r="F50" i="1" s="1"/>
  <c r="K60" i="1"/>
  <c r="K119" i="1" s="1"/>
  <c r="K27" i="1"/>
  <c r="F120" i="1"/>
  <c r="F121" i="1" s="1"/>
  <c r="F110" i="1"/>
  <c r="F27" i="1"/>
  <c r="F111" i="1"/>
  <c r="I27" i="1"/>
  <c r="I110" i="1"/>
  <c r="I111" i="1"/>
  <c r="I114" i="1"/>
  <c r="I148" i="1" s="1"/>
  <c r="K301" i="1"/>
  <c r="K112" i="1"/>
  <c r="I2" i="1"/>
  <c r="H231" i="1"/>
  <c r="H230" i="1"/>
  <c r="A222" i="1"/>
  <c r="A232" i="1"/>
  <c r="H229" i="1"/>
  <c r="H221" i="1"/>
  <c r="H220" i="1"/>
  <c r="F256" i="1"/>
  <c r="J256" i="1"/>
  <c r="K181" i="1"/>
  <c r="K183" i="1" s="1"/>
  <c r="K283" i="1"/>
  <c r="E215" i="1"/>
  <c r="G111" i="1"/>
  <c r="G110" i="1"/>
  <c r="G120" i="1"/>
  <c r="G121" i="1" s="1"/>
  <c r="G27" i="1"/>
  <c r="G114" i="1"/>
  <c r="G148" i="1" s="1"/>
  <c r="I120" i="1"/>
  <c r="I121" i="1" s="1"/>
  <c r="H27" i="1"/>
  <c r="E181" i="1"/>
  <c r="E183" i="1" s="1"/>
  <c r="E283" i="1"/>
  <c r="H283" i="1"/>
  <c r="H181" i="1"/>
  <c r="H183" i="1" s="1"/>
  <c r="F114" i="1"/>
  <c r="F148" i="1" s="1"/>
  <c r="G162" i="1"/>
  <c r="F187" i="1"/>
  <c r="J111" i="1"/>
  <c r="J110" i="1"/>
  <c r="J114" i="1"/>
  <c r="J148" i="1" s="1"/>
  <c r="J27" i="1"/>
  <c r="J120" i="1"/>
  <c r="J121" i="1" s="1"/>
  <c r="E226" i="1"/>
  <c r="E238" i="1" s="1"/>
  <c r="E132" i="1" s="1"/>
  <c r="F219" i="1"/>
  <c r="H256" i="1"/>
  <c r="H121" i="1"/>
  <c r="E151" i="1"/>
  <c r="F204" i="1"/>
  <c r="F214" i="1" s="1"/>
  <c r="G256" i="1"/>
  <c r="E121" i="1"/>
  <c r="E256" i="1"/>
  <c r="E110" i="1"/>
  <c r="E111" i="1"/>
  <c r="E27" i="1"/>
  <c r="E114" i="1"/>
  <c r="E148" i="1" s="1"/>
  <c r="E176" i="1" s="1"/>
  <c r="I309" i="1"/>
  <c r="I305" i="1"/>
  <c r="H301" i="1" l="1"/>
  <c r="G251" i="1"/>
  <c r="G133" i="1" s="1"/>
  <c r="G280" i="1" s="1"/>
  <c r="G159" i="1"/>
  <c r="G186" i="1" s="1"/>
  <c r="H247" i="1"/>
  <c r="H249" i="1" s="1"/>
  <c r="H251" i="1" s="1"/>
  <c r="H133" i="1" s="1"/>
  <c r="H280" i="1" s="1"/>
  <c r="F242" i="1"/>
  <c r="I176" i="1"/>
  <c r="J176" i="1"/>
  <c r="H157" i="1"/>
  <c r="H158" i="1" s="1"/>
  <c r="F189" i="1"/>
  <c r="I157" i="1"/>
  <c r="I158" i="1" s="1"/>
  <c r="F157" i="1"/>
  <c r="H236" i="1"/>
  <c r="G176" i="1"/>
  <c r="G157" i="1"/>
  <c r="E241" i="1"/>
  <c r="E243" i="1" s="1"/>
  <c r="F158" i="1"/>
  <c r="F160" i="1" s="1"/>
  <c r="E301" i="1"/>
  <c r="E112" i="1"/>
  <c r="H309" i="1"/>
  <c r="H305" i="1"/>
  <c r="G301" i="1"/>
  <c r="G112" i="1"/>
  <c r="F112" i="1"/>
  <c r="F301" i="1"/>
  <c r="E309" i="1"/>
  <c r="E305" i="1"/>
  <c r="J305" i="1"/>
  <c r="J309" i="1"/>
  <c r="A233" i="1"/>
  <c r="I221" i="1"/>
  <c r="I220" i="1"/>
  <c r="I231" i="1"/>
  <c r="I230" i="1"/>
  <c r="I222" i="1"/>
  <c r="I232" i="1"/>
  <c r="A223" i="1"/>
  <c r="I229" i="1"/>
  <c r="J2" i="1"/>
  <c r="K115" i="1"/>
  <c r="K147" i="1"/>
  <c r="F226" i="1"/>
  <c r="F238" i="1" s="1"/>
  <c r="F132" i="1" s="1"/>
  <c r="G219" i="1"/>
  <c r="E173" i="1"/>
  <c r="E284" i="1"/>
  <c r="K176" i="1"/>
  <c r="I112" i="1"/>
  <c r="I301" i="1"/>
  <c r="K256" i="1"/>
  <c r="K121" i="1"/>
  <c r="K157" i="1" s="1"/>
  <c r="G204" i="1"/>
  <c r="G214" i="1" s="1"/>
  <c r="G242" i="1" s="1"/>
  <c r="F151" i="1"/>
  <c r="E157" i="1"/>
  <c r="F177" i="1" s="1"/>
  <c r="H162" i="1"/>
  <c r="G187" i="1"/>
  <c r="H176" i="1"/>
  <c r="F176" i="1"/>
  <c r="F51" i="1"/>
  <c r="F52" i="1" s="1"/>
  <c r="G48" i="1" s="1"/>
  <c r="G50" i="1" s="1"/>
  <c r="J112" i="1"/>
  <c r="J301" i="1"/>
  <c r="J157" i="1"/>
  <c r="G305" i="1"/>
  <c r="G309" i="1"/>
  <c r="H115" i="1"/>
  <c r="H147" i="1"/>
  <c r="F309" i="1"/>
  <c r="F305" i="1"/>
  <c r="G189" i="1" l="1"/>
  <c r="F203" i="1"/>
  <c r="F213" i="1" s="1"/>
  <c r="G177" i="1"/>
  <c r="G158" i="1"/>
  <c r="G160" i="1" s="1"/>
  <c r="H177" i="1"/>
  <c r="I177" i="1"/>
  <c r="E150" i="1"/>
  <c r="J158" i="1"/>
  <c r="J177" i="1"/>
  <c r="J223" i="1"/>
  <c r="J233" i="1"/>
  <c r="A234" i="1"/>
  <c r="J221" i="1"/>
  <c r="J220" i="1"/>
  <c r="K2" i="1"/>
  <c r="J230" i="1"/>
  <c r="J222" i="1"/>
  <c r="J232" i="1"/>
  <c r="J229" i="1"/>
  <c r="J219" i="1"/>
  <c r="J231" i="1"/>
  <c r="A224" i="1"/>
  <c r="F205" i="1"/>
  <c r="F115" i="1"/>
  <c r="F147" i="1"/>
  <c r="I147" i="1"/>
  <c r="I175" i="1" s="1"/>
  <c r="I115" i="1"/>
  <c r="H116" i="1"/>
  <c r="H302" i="1" s="1"/>
  <c r="H122" i="1"/>
  <c r="G147" i="1"/>
  <c r="H175" i="1" s="1"/>
  <c r="G115" i="1"/>
  <c r="H159" i="1"/>
  <c r="H186" i="1" s="1"/>
  <c r="I247" i="1"/>
  <c r="G151" i="1"/>
  <c r="H204" i="1"/>
  <c r="H214" i="1" s="1"/>
  <c r="H242" i="1" s="1"/>
  <c r="G226" i="1"/>
  <c r="G238" i="1" s="1"/>
  <c r="G132" i="1" s="1"/>
  <c r="H219" i="1"/>
  <c r="I162" i="1"/>
  <c r="H187" i="1"/>
  <c r="K158" i="1"/>
  <c r="K177" i="1"/>
  <c r="F173" i="1"/>
  <c r="F284" i="1"/>
  <c r="G51" i="1"/>
  <c r="G52" i="1" s="1"/>
  <c r="H48" i="1" s="1"/>
  <c r="H50" i="1" s="1"/>
  <c r="K116" i="1"/>
  <c r="K302" i="1" s="1"/>
  <c r="K122" i="1"/>
  <c r="E177" i="1"/>
  <c r="E158" i="1"/>
  <c r="E160" i="1" s="1"/>
  <c r="E147" i="1"/>
  <c r="E175" i="1" s="1"/>
  <c r="E115" i="1"/>
  <c r="I236" i="1"/>
  <c r="J147" i="1"/>
  <c r="K175" i="1" s="1"/>
  <c r="J115" i="1"/>
  <c r="K305" i="1"/>
  <c r="K309" i="1"/>
  <c r="E285" i="1" l="1"/>
  <c r="K285" i="1"/>
  <c r="I285" i="1"/>
  <c r="H285" i="1"/>
  <c r="H189" i="1"/>
  <c r="H51" i="1"/>
  <c r="H52" i="1" s="1"/>
  <c r="I48" i="1" s="1"/>
  <c r="I50" i="1" s="1"/>
  <c r="E122" i="1"/>
  <c r="E116" i="1"/>
  <c r="E302" i="1" s="1"/>
  <c r="H258" i="1"/>
  <c r="H129" i="1"/>
  <c r="H123" i="1"/>
  <c r="J226" i="1"/>
  <c r="G173" i="1"/>
  <c r="G284" i="1"/>
  <c r="I204" i="1"/>
  <c r="I214" i="1" s="1"/>
  <c r="I242" i="1" s="1"/>
  <c r="H151" i="1"/>
  <c r="J236" i="1"/>
  <c r="K232" i="1"/>
  <c r="K229" i="1"/>
  <c r="K223" i="1"/>
  <c r="K224" i="1"/>
  <c r="K234" i="1"/>
  <c r="K221" i="1"/>
  <c r="K219" i="1"/>
  <c r="K230" i="1"/>
  <c r="K222" i="1"/>
  <c r="K220" i="1"/>
  <c r="A235" i="1"/>
  <c r="A225" i="1"/>
  <c r="K231" i="1"/>
  <c r="K233" i="1"/>
  <c r="I116" i="1"/>
  <c r="I302" i="1" s="1"/>
  <c r="I122" i="1"/>
  <c r="F175" i="1"/>
  <c r="F285" i="1" s="1"/>
  <c r="H160" i="1"/>
  <c r="F122" i="1"/>
  <c r="F116" i="1"/>
  <c r="F302" i="1" s="1"/>
  <c r="I249" i="1"/>
  <c r="I251" i="1" s="1"/>
  <c r="I133" i="1" s="1"/>
  <c r="I280" i="1" s="1"/>
  <c r="J122" i="1"/>
  <c r="J116" i="1"/>
  <c r="J302" i="1" s="1"/>
  <c r="J175" i="1"/>
  <c r="J285" i="1" s="1"/>
  <c r="I187" i="1"/>
  <c r="J162" i="1"/>
  <c r="G116" i="1"/>
  <c r="G302" i="1" s="1"/>
  <c r="G122" i="1"/>
  <c r="K258" i="1"/>
  <c r="K123" i="1"/>
  <c r="K129" i="1"/>
  <c r="H226" i="1"/>
  <c r="H238" i="1" s="1"/>
  <c r="H132" i="1" s="1"/>
  <c r="I219" i="1"/>
  <c r="I226" i="1" s="1"/>
  <c r="I238" i="1" s="1"/>
  <c r="I132" i="1" s="1"/>
  <c r="G175" i="1"/>
  <c r="G285" i="1" s="1"/>
  <c r="F241" i="1"/>
  <c r="F215" i="1"/>
  <c r="K236" i="1" l="1"/>
  <c r="I51" i="1"/>
  <c r="I52" i="1" s="1"/>
  <c r="J48" i="1" s="1"/>
  <c r="J50" i="1" s="1"/>
  <c r="J238" i="1"/>
  <c r="J132" i="1" s="1"/>
  <c r="E290" i="1"/>
  <c r="E291" i="1" s="1"/>
  <c r="K130" i="1"/>
  <c r="K303" i="1" s="1"/>
  <c r="H130" i="1"/>
  <c r="H303" i="1" s="1"/>
  <c r="H134" i="1"/>
  <c r="K226" i="1"/>
  <c r="K238" i="1" s="1"/>
  <c r="K132" i="1" s="1"/>
  <c r="F243" i="1"/>
  <c r="G203" i="1"/>
  <c r="F150" i="1"/>
  <c r="I159" i="1"/>
  <c r="J247" i="1"/>
  <c r="J204" i="1"/>
  <c r="J214" i="1" s="1"/>
  <c r="J242" i="1" s="1"/>
  <c r="I151" i="1"/>
  <c r="E123" i="1"/>
  <c r="E129" i="1"/>
  <c r="E258" i="1"/>
  <c r="I173" i="1"/>
  <c r="I284" i="1"/>
  <c r="K310" i="1"/>
  <c r="K260" i="1"/>
  <c r="K264" i="1"/>
  <c r="K311" i="1" s="1"/>
  <c r="H310" i="1"/>
  <c r="H260" i="1"/>
  <c r="H264" i="1"/>
  <c r="H311" i="1" s="1"/>
  <c r="J129" i="1"/>
  <c r="J123" i="1"/>
  <c r="J258" i="1"/>
  <c r="I258" i="1"/>
  <c r="I129" i="1"/>
  <c r="I123" i="1"/>
  <c r="G129" i="1"/>
  <c r="G123" i="1"/>
  <c r="G258" i="1"/>
  <c r="H284" i="1"/>
  <c r="H173" i="1"/>
  <c r="K162" i="1"/>
  <c r="J187" i="1"/>
  <c r="F123" i="1"/>
  <c r="F129" i="1"/>
  <c r="F258" i="1"/>
  <c r="J51" i="1" l="1"/>
  <c r="J52" i="1" s="1"/>
  <c r="K48" i="1" s="1"/>
  <c r="K50" i="1" s="1"/>
  <c r="I310" i="1"/>
  <c r="I260" i="1"/>
  <c r="I264" i="1"/>
  <c r="I311" i="1" s="1"/>
  <c r="K187" i="1"/>
  <c r="J130" i="1"/>
  <c r="J303" i="1" s="1"/>
  <c r="F134" i="1"/>
  <c r="F130" i="1"/>
  <c r="F303" i="1" s="1"/>
  <c r="G205" i="1"/>
  <c r="G213" i="1"/>
  <c r="J284" i="1"/>
  <c r="J173" i="1"/>
  <c r="K262" i="1"/>
  <c r="K307" i="1" s="1"/>
  <c r="K306" i="1"/>
  <c r="F310" i="1"/>
  <c r="F260" i="1"/>
  <c r="F264" i="1"/>
  <c r="F311" i="1" s="1"/>
  <c r="H262" i="1"/>
  <c r="H307" i="1" s="1"/>
  <c r="H306" i="1"/>
  <c r="K284" i="1"/>
  <c r="K173" i="1"/>
  <c r="J151" i="1"/>
  <c r="K204" i="1"/>
  <c r="K214" i="1" s="1"/>
  <c r="K242" i="1" s="1"/>
  <c r="K151" i="1" s="1"/>
  <c r="J260" i="1"/>
  <c r="J310" i="1"/>
  <c r="J264" i="1"/>
  <c r="J311" i="1" s="1"/>
  <c r="J249" i="1"/>
  <c r="J251" i="1"/>
  <c r="J133" i="1" s="1"/>
  <c r="J280" i="1" s="1"/>
  <c r="I186" i="1"/>
  <c r="I189" i="1" s="1"/>
  <c r="I160" i="1"/>
  <c r="G260" i="1"/>
  <c r="G310" i="1"/>
  <c r="G264" i="1"/>
  <c r="G311" i="1" s="1"/>
  <c r="E310" i="1"/>
  <c r="E260" i="1"/>
  <c r="E264" i="1"/>
  <c r="E311" i="1" s="1"/>
  <c r="G134" i="1"/>
  <c r="G130" i="1"/>
  <c r="G303" i="1" s="1"/>
  <c r="E130" i="1"/>
  <c r="E303" i="1" s="1"/>
  <c r="E134" i="1"/>
  <c r="I130" i="1"/>
  <c r="I303" i="1" s="1"/>
  <c r="I134" i="1"/>
  <c r="H269" i="1"/>
  <c r="H279" i="1"/>
  <c r="H281" i="1" s="1"/>
  <c r="H136" i="1"/>
  <c r="H137" i="1" s="1"/>
  <c r="H172" i="1" s="1"/>
  <c r="H178" i="1" s="1"/>
  <c r="H191" i="1" l="1"/>
  <c r="H194" i="1" s="1"/>
  <c r="H313" i="1"/>
  <c r="G269" i="1"/>
  <c r="G279" i="1"/>
  <c r="G281" i="1" s="1"/>
  <c r="G136" i="1"/>
  <c r="G137" i="1" s="1"/>
  <c r="G172" i="1" s="1"/>
  <c r="G178" i="1" s="1"/>
  <c r="H273" i="1"/>
  <c r="K247" i="1"/>
  <c r="J159" i="1"/>
  <c r="I269" i="1"/>
  <c r="I136" i="1"/>
  <c r="I137" i="1" s="1"/>
  <c r="I172" i="1" s="1"/>
  <c r="I178" i="1" s="1"/>
  <c r="I279" i="1"/>
  <c r="I281" i="1" s="1"/>
  <c r="I306" i="1"/>
  <c r="I262" i="1"/>
  <c r="I307" i="1" s="1"/>
  <c r="E306" i="1"/>
  <c r="E262" i="1"/>
  <c r="E307" i="1" s="1"/>
  <c r="G241" i="1"/>
  <c r="G215" i="1"/>
  <c r="E269" i="1"/>
  <c r="E279" i="1"/>
  <c r="E281" i="1" s="1"/>
  <c r="E136" i="1"/>
  <c r="E137" i="1" s="1"/>
  <c r="F279" i="1"/>
  <c r="F281" i="1" s="1"/>
  <c r="F136" i="1"/>
  <c r="F137" i="1" s="1"/>
  <c r="F172" i="1" s="1"/>
  <c r="F178" i="1" s="1"/>
  <c r="F269" i="1"/>
  <c r="K51" i="1"/>
  <c r="K52" i="1" s="1"/>
  <c r="J306" i="1"/>
  <c r="J262" i="1"/>
  <c r="J307" i="1" s="1"/>
  <c r="F306" i="1"/>
  <c r="F262" i="1"/>
  <c r="F307" i="1" s="1"/>
  <c r="G306" i="1"/>
  <c r="G262" i="1"/>
  <c r="G307" i="1" s="1"/>
  <c r="J134" i="1"/>
  <c r="F313" i="1" l="1"/>
  <c r="F191" i="1"/>
  <c r="F194" i="1" s="1"/>
  <c r="E163" i="1"/>
  <c r="E172" i="1"/>
  <c r="E178" i="1" s="1"/>
  <c r="J279" i="1"/>
  <c r="J281" i="1" s="1"/>
  <c r="J136" i="1"/>
  <c r="J137" i="1" s="1"/>
  <c r="J172" i="1" s="1"/>
  <c r="J178" i="1" s="1"/>
  <c r="J269" i="1"/>
  <c r="G191" i="1"/>
  <c r="G194" i="1" s="1"/>
  <c r="G313" i="1"/>
  <c r="J186" i="1"/>
  <c r="J189" i="1" s="1"/>
  <c r="J160" i="1"/>
  <c r="G273" i="1"/>
  <c r="I313" i="1"/>
  <c r="I191" i="1"/>
  <c r="I194" i="1" s="1"/>
  <c r="F273" i="1"/>
  <c r="F275" i="1"/>
  <c r="I273" i="1"/>
  <c r="K249" i="1"/>
  <c r="K159" i="1" s="1"/>
  <c r="E275" i="1"/>
  <c r="E273" i="1"/>
  <c r="E274" i="1" s="1"/>
  <c r="G243" i="1"/>
  <c r="G150" i="1"/>
  <c r="H203" i="1"/>
  <c r="E276" i="1" l="1"/>
  <c r="E282" i="1" s="1"/>
  <c r="E286" i="1" s="1"/>
  <c r="J313" i="1"/>
  <c r="J191" i="1"/>
  <c r="J194" i="1" s="1"/>
  <c r="H213" i="1"/>
  <c r="H205" i="1"/>
  <c r="E191" i="1"/>
  <c r="E194" i="1" s="1"/>
  <c r="E195" i="1" s="1"/>
  <c r="E313" i="1"/>
  <c r="K186" i="1"/>
  <c r="K189" i="1" s="1"/>
  <c r="K160" i="1"/>
  <c r="F163" i="1"/>
  <c r="E164" i="1"/>
  <c r="E165" i="1" s="1"/>
  <c r="K251" i="1"/>
  <c r="K133" i="1" s="1"/>
  <c r="J273" i="1"/>
  <c r="F272" i="1" l="1"/>
  <c r="F274" i="1" s="1"/>
  <c r="F276" i="1" s="1"/>
  <c r="F193" i="1"/>
  <c r="F195" i="1" s="1"/>
  <c r="E314" i="1"/>
  <c r="E146" i="1"/>
  <c r="E149" i="1" s="1"/>
  <c r="E152" i="1" s="1"/>
  <c r="E167" i="1" s="1"/>
  <c r="E3" i="1" s="1"/>
  <c r="F282" i="1"/>
  <c r="F286" i="1" s="1"/>
  <c r="G272" i="1"/>
  <c r="G274" i="1" s="1"/>
  <c r="K280" i="1"/>
  <c r="K134" i="1"/>
  <c r="G163" i="1"/>
  <c r="F164" i="1"/>
  <c r="F165" i="1" s="1"/>
  <c r="H241" i="1"/>
  <c r="H215" i="1"/>
  <c r="H163" i="1" l="1"/>
  <c r="G164" i="1"/>
  <c r="G165" i="1" s="1"/>
  <c r="G275" i="1"/>
  <c r="G276" i="1" s="1"/>
  <c r="K136" i="1"/>
  <c r="K137" i="1" s="1"/>
  <c r="K172" i="1" s="1"/>
  <c r="K178" i="1" s="1"/>
  <c r="K269" i="1"/>
  <c r="K279" i="1"/>
  <c r="K281" i="1" s="1"/>
  <c r="H150" i="1"/>
  <c r="I203" i="1"/>
  <c r="H243" i="1"/>
  <c r="G193" i="1"/>
  <c r="G195" i="1" s="1"/>
  <c r="F314" i="1"/>
  <c r="F146" i="1"/>
  <c r="F149" i="1" s="1"/>
  <c r="F152" i="1" s="1"/>
  <c r="F167" i="1" s="1"/>
  <c r="F3" i="1" s="1"/>
  <c r="G282" i="1" l="1"/>
  <c r="G286" i="1" s="1"/>
  <c r="H272" i="1"/>
  <c r="H274" i="1" s="1"/>
  <c r="K273" i="1"/>
  <c r="H193" i="1"/>
  <c r="H195" i="1" s="1"/>
  <c r="G314" i="1"/>
  <c r="G146" i="1"/>
  <c r="G149" i="1" s="1"/>
  <c r="G152" i="1" s="1"/>
  <c r="G167" i="1" s="1"/>
  <c r="G3" i="1" s="1"/>
  <c r="K191" i="1"/>
  <c r="K194" i="1" s="1"/>
  <c r="K313" i="1"/>
  <c r="I163" i="1"/>
  <c r="H164" i="1"/>
  <c r="H165" i="1" s="1"/>
  <c r="I213" i="1"/>
  <c r="I205" i="1"/>
  <c r="I241" i="1" l="1"/>
  <c r="I215" i="1"/>
  <c r="H275" i="1"/>
  <c r="H276" i="1" s="1"/>
  <c r="H146" i="1"/>
  <c r="H149" i="1" s="1"/>
  <c r="H152" i="1" s="1"/>
  <c r="H167" i="1" s="1"/>
  <c r="H3" i="1" s="1"/>
  <c r="H314" i="1"/>
  <c r="I193" i="1"/>
  <c r="I195" i="1" s="1"/>
  <c r="J163" i="1"/>
  <c r="I164" i="1"/>
  <c r="I165" i="1" s="1"/>
  <c r="I272" i="1" l="1"/>
  <c r="I274" i="1" s="1"/>
  <c r="H282" i="1"/>
  <c r="H286" i="1" s="1"/>
  <c r="J203" i="1"/>
  <c r="I150" i="1"/>
  <c r="I243" i="1"/>
  <c r="I314" i="1"/>
  <c r="I146" i="1"/>
  <c r="I149" i="1" s="1"/>
  <c r="J193" i="1"/>
  <c r="J195" i="1" s="1"/>
  <c r="K163" i="1"/>
  <c r="K164" i="1" s="1"/>
  <c r="K165" i="1" s="1"/>
  <c r="J164" i="1"/>
  <c r="J165" i="1" s="1"/>
  <c r="I152" i="1" l="1"/>
  <c r="I167" i="1" s="1"/>
  <c r="I3" i="1" s="1"/>
  <c r="J205" i="1"/>
  <c r="J213" i="1"/>
  <c r="J314" i="1"/>
  <c r="J146" i="1"/>
  <c r="J149" i="1" s="1"/>
  <c r="K193" i="1"/>
  <c r="K195" i="1" s="1"/>
  <c r="I275" i="1"/>
  <c r="I276" i="1" s="1"/>
  <c r="I282" i="1" l="1"/>
  <c r="I286" i="1" s="1"/>
  <c r="J272" i="1"/>
  <c r="J274" i="1" s="1"/>
  <c r="J215" i="1"/>
  <c r="J241" i="1"/>
  <c r="K146" i="1"/>
  <c r="K149" i="1" s="1"/>
  <c r="K314" i="1"/>
  <c r="J275" i="1" l="1"/>
  <c r="J276" i="1" s="1"/>
  <c r="K203" i="1"/>
  <c r="J150" i="1"/>
  <c r="J152" i="1" s="1"/>
  <c r="J167" i="1" s="1"/>
  <c r="J3" i="1" s="1"/>
  <c r="J243" i="1"/>
  <c r="K272" i="1" l="1"/>
  <c r="K274" i="1" s="1"/>
  <c r="J282" i="1"/>
  <c r="J286" i="1" s="1"/>
  <c r="K213" i="1"/>
  <c r="K205" i="1"/>
  <c r="K241" i="1" l="1"/>
  <c r="K215" i="1"/>
  <c r="K275" i="1"/>
  <c r="K276" i="1" s="1"/>
  <c r="K282" i="1" s="1"/>
  <c r="K286" i="1" s="1"/>
  <c r="E289" i="1" s="1"/>
  <c r="E292" i="1" s="1"/>
  <c r="E294" i="1" l="1"/>
  <c r="E296" i="1"/>
  <c r="K150" i="1"/>
  <c r="K152" i="1" s="1"/>
  <c r="K167" i="1" s="1"/>
  <c r="K3" i="1" s="1"/>
  <c r="K2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Kashif Javaid</author>
  </authors>
  <commentList>
    <comment ref="D15" authorId="0" shapeId="0" xr:uid="{5A8B7124-D141-41FD-9999-A97F70403A52}">
      <text>
        <r>
          <rPr>
            <b/>
            <sz val="9"/>
            <color indexed="81"/>
            <rFont val="Tahoma"/>
            <family val="2"/>
          </rPr>
          <t>Kashif Javaid:</t>
        </r>
        <r>
          <rPr>
            <sz val="9"/>
            <color indexed="81"/>
            <rFont val="Tahoma"/>
            <family val="2"/>
          </rPr>
          <t xml:space="preserve">
Months per year</t>
        </r>
      </text>
    </comment>
    <comment ref="D83" authorId="0" shapeId="0" xr:uid="{47E6192F-45A1-49B9-AFA0-C2D83D49D8B3}">
      <text>
        <r>
          <rPr>
            <b/>
            <sz val="9"/>
            <color indexed="81"/>
            <rFont val="Tahoma"/>
            <family val="2"/>
          </rPr>
          <t>Kashif Javaid:</t>
        </r>
        <r>
          <rPr>
            <sz val="9"/>
            <color indexed="81"/>
            <rFont val="Tahoma"/>
            <family val="2"/>
          </rPr>
          <t xml:space="preserve">
Days in a year</t>
        </r>
      </text>
    </comment>
    <comment ref="D105" authorId="0" shapeId="0" xr:uid="{8439DD94-3379-4B2F-A6A9-BC8DF5B48411}">
      <text>
        <r>
          <rPr>
            <b/>
            <sz val="9"/>
            <color indexed="81"/>
            <rFont val="Tahoma"/>
            <family val="2"/>
          </rPr>
          <t>Kashif Javaid:</t>
        </r>
        <r>
          <rPr>
            <sz val="9"/>
            <color indexed="81"/>
            <rFont val="Tahoma"/>
            <family val="2"/>
          </rPr>
          <t xml:space="preserve">
Cost of Capital Assumption</t>
        </r>
      </text>
    </comment>
    <comment ref="D106" authorId="0" shapeId="0" xr:uid="{2B2750EE-8FAB-47B0-A10D-717A0AE8CDE7}">
      <text>
        <r>
          <rPr>
            <b/>
            <sz val="9"/>
            <color indexed="81"/>
            <rFont val="Tahoma"/>
            <family val="2"/>
          </rPr>
          <t>Kashif Javaid:</t>
        </r>
        <r>
          <rPr>
            <sz val="9"/>
            <color indexed="81"/>
            <rFont val="Tahoma"/>
            <family val="2"/>
          </rPr>
          <t xml:space="preserve">
Exit EBITDA Multiple Assumption
</t>
        </r>
      </text>
    </comment>
    <comment ref="E296" authorId="0" shapeId="0" xr:uid="{F885A183-AFD8-4985-9442-39E6835C3BB1}">
      <text>
        <r>
          <rPr>
            <b/>
            <sz val="9"/>
            <color indexed="81"/>
            <rFont val="Tahoma"/>
            <family val="2"/>
          </rPr>
          <t>Kashif Javaid:</t>
        </r>
        <r>
          <rPr>
            <sz val="9"/>
            <color indexed="81"/>
            <rFont val="Tahoma"/>
            <family val="2"/>
          </rPr>
          <t xml:space="preserve">
Assumes 100% outside funding</t>
        </r>
      </text>
    </comment>
    <comment ref="D314" authorId="0" shapeId="0" xr:uid="{93B58C13-D4A0-4E32-916B-63D82361A7FC}">
      <text>
        <r>
          <rPr>
            <b/>
            <sz val="9"/>
            <color indexed="81"/>
            <rFont val="Tahoma"/>
            <family val="2"/>
          </rPr>
          <t>Kashif Javaid:</t>
        </r>
        <r>
          <rPr>
            <sz val="9"/>
            <color indexed="81"/>
            <rFont val="Tahoma"/>
            <family val="2"/>
          </rPr>
          <t xml:space="preserve">
Starting Cash</t>
        </r>
      </text>
    </comment>
  </commentList>
</comments>
</file>

<file path=xl/sharedStrings.xml><?xml version="1.0" encoding="utf-8"?>
<sst xmlns="http://schemas.openxmlformats.org/spreadsheetml/2006/main" count="235" uniqueCount="169">
  <si>
    <t>Organic Search</t>
  </si>
  <si>
    <t>Site Traffic (Avg monthly visits)</t>
  </si>
  <si>
    <t>Paid Search</t>
  </si>
  <si>
    <t>Affiliates</t>
  </si>
  <si>
    <t>Email</t>
  </si>
  <si>
    <t>Total Monthly Visits</t>
  </si>
  <si>
    <t>Site Traffic (Annual)</t>
  </si>
  <si>
    <t>Conversion Rates</t>
  </si>
  <si>
    <t>Total Annual Visits</t>
  </si>
  <si>
    <t>Orders Placed</t>
  </si>
  <si>
    <t>Total Orders Placed</t>
  </si>
  <si>
    <t>Order Details</t>
  </si>
  <si>
    <t># of items per order</t>
  </si>
  <si>
    <t>Average markdown</t>
  </si>
  <si>
    <t>Average promotion/discount</t>
  </si>
  <si>
    <t>Marketing Expenses</t>
  </si>
  <si>
    <t>Paid Search (cost per click)</t>
  </si>
  <si>
    <t>Affiliates (cost per click)</t>
  </si>
  <si>
    <t>Variable</t>
  </si>
  <si>
    <t>Order Fulfilment</t>
  </si>
  <si>
    <t>Freight/shipping per order</t>
  </si>
  <si>
    <t>Fixed</t>
  </si>
  <si>
    <t>Warehouse rent</t>
  </si>
  <si>
    <t>Assumptions</t>
  </si>
  <si>
    <t>Average item value (gross)</t>
  </si>
  <si>
    <t>General &amp; Administrative</t>
  </si>
  <si>
    <t>Office rent</t>
  </si>
  <si>
    <t>Salaries, wages &amp; Benefits</t>
  </si>
  <si>
    <t>Professional fees</t>
  </si>
  <si>
    <t>Other</t>
  </si>
  <si>
    <t>Organic Search (cost per click)</t>
  </si>
  <si>
    <t>Email (cost per click)</t>
  </si>
  <si>
    <t>Average Gross order value</t>
  </si>
  <si>
    <t>Average Net order value</t>
  </si>
  <si>
    <t>Balance Sheet Items</t>
  </si>
  <si>
    <t>Accounts Receivable Days</t>
  </si>
  <si>
    <t>Inventory Days</t>
  </si>
  <si>
    <t>Inventory Turns</t>
  </si>
  <si>
    <t>Liabilities</t>
  </si>
  <si>
    <t>Accounts Payable</t>
  </si>
  <si>
    <t>Accounts Payable Days</t>
  </si>
  <si>
    <t>Capital Expenditures</t>
  </si>
  <si>
    <t>Depreciation</t>
  </si>
  <si>
    <t>Technology Development</t>
  </si>
  <si>
    <t>Office Equipment</t>
  </si>
  <si>
    <t>Current Assets</t>
  </si>
  <si>
    <t>Current Liabilities</t>
  </si>
  <si>
    <t>Financing</t>
  </si>
  <si>
    <t>Equity Raised (Repurchased)</t>
  </si>
  <si>
    <t>Dividends Paid</t>
  </si>
  <si>
    <t>Income Statement</t>
  </si>
  <si>
    <t>Gross Revenue</t>
  </si>
  <si>
    <t>Discounts, Promotions, Markdowns</t>
  </si>
  <si>
    <t>Net Revenue</t>
  </si>
  <si>
    <t>Cost of Goods Sold</t>
  </si>
  <si>
    <t>Gross Profit</t>
  </si>
  <si>
    <t>Margin</t>
  </si>
  <si>
    <t>Gross Margin</t>
  </si>
  <si>
    <t>Variable Operating Expenses</t>
  </si>
  <si>
    <t>Marketing</t>
  </si>
  <si>
    <t>Average</t>
  </si>
  <si>
    <t xml:space="preserve">Total </t>
  </si>
  <si>
    <t>Fulfilment</t>
  </si>
  <si>
    <t>Total Variable Costs</t>
  </si>
  <si>
    <t>Contribution Margin</t>
  </si>
  <si>
    <t>Fixed Operating Expenses</t>
  </si>
  <si>
    <t>Total</t>
  </si>
  <si>
    <t>EBITDA</t>
  </si>
  <si>
    <t>Interest</t>
  </si>
  <si>
    <t>Earnings Before Tax</t>
  </si>
  <si>
    <t>Taxes</t>
  </si>
  <si>
    <t>Net Income</t>
  </si>
  <si>
    <t>Balance Sheet</t>
  </si>
  <si>
    <t>ASSETS</t>
  </si>
  <si>
    <t>Current</t>
  </si>
  <si>
    <t>Cash</t>
  </si>
  <si>
    <t>Accounts Receivable</t>
  </si>
  <si>
    <t>Inventory</t>
  </si>
  <si>
    <t>Property &amp; Equipment</t>
  </si>
  <si>
    <t>LIABILITIES &amp; SHAREHOLDER EQUITY</t>
  </si>
  <si>
    <t>Share Capital</t>
  </si>
  <si>
    <t>Retained Earnings</t>
  </si>
  <si>
    <t>Cash Flow Statement</t>
  </si>
  <si>
    <t>Cash from Operations</t>
  </si>
  <si>
    <t>Cash Invested</t>
  </si>
  <si>
    <t>Acquisitions</t>
  </si>
  <si>
    <t>Cash from Financing</t>
  </si>
  <si>
    <t>Equity Issued (repurchased)</t>
  </si>
  <si>
    <t>Total Cash</t>
  </si>
  <si>
    <t>Opening balance</t>
  </si>
  <si>
    <t>Increase (Decrease)</t>
  </si>
  <si>
    <t>Closing balance</t>
  </si>
  <si>
    <t>Changes in non cash working capital</t>
  </si>
  <si>
    <t>Labor/handling per order</t>
  </si>
  <si>
    <t>Technology - Straight-line Years</t>
  </si>
  <si>
    <t>Office Equipment - Straight-line Years</t>
  </si>
  <si>
    <t>Supporting Schedules</t>
  </si>
  <si>
    <t>Capital Assets</t>
  </si>
  <si>
    <t>Technology</t>
  </si>
  <si>
    <t>Opening Balance</t>
  </si>
  <si>
    <t>Additions</t>
  </si>
  <si>
    <t>Subtotal</t>
  </si>
  <si>
    <t>Closing Balance</t>
  </si>
  <si>
    <t>Customer Metrics</t>
  </si>
  <si>
    <t>Customers</t>
  </si>
  <si>
    <t>Opening active customer base</t>
  </si>
  <si>
    <t>Churn Rate</t>
  </si>
  <si>
    <t>Less churned customers</t>
  </si>
  <si>
    <t>Closing customer base</t>
  </si>
  <si>
    <t>Customer Acquisition Cost (CAC)</t>
  </si>
  <si>
    <t>Customer Lifetime Value (LTV)</t>
  </si>
  <si>
    <t>LTV/CAC Ratio</t>
  </si>
  <si>
    <t>Contribution Margin Per Order</t>
  </si>
  <si>
    <t>Payback (# of orders)</t>
  </si>
  <si>
    <t>Valuation</t>
  </si>
  <si>
    <t>EBIT</t>
  </si>
  <si>
    <t xml:space="preserve">Net Operating Loss </t>
  </si>
  <si>
    <t>Current Loss</t>
  </si>
  <si>
    <t>Sub Total</t>
  </si>
  <si>
    <t>Loss Used</t>
  </si>
  <si>
    <t>Tax Rate</t>
  </si>
  <si>
    <t>Earning Before Tax</t>
  </si>
  <si>
    <t>Less Taxes</t>
  </si>
  <si>
    <t>Plus Depreciation</t>
  </si>
  <si>
    <t>Unlevered Free Cash Flow</t>
  </si>
  <si>
    <t>Free Cash Flow</t>
  </si>
  <si>
    <t>Cost of Capital / Discount Rate</t>
  </si>
  <si>
    <t>DCF Valuation</t>
  </si>
  <si>
    <t>NPV of Forecast</t>
  </si>
  <si>
    <t>NPV of Terminal Value</t>
  </si>
  <si>
    <t>Total Enterprise Value</t>
  </si>
  <si>
    <t>Plus new customers</t>
  </si>
  <si>
    <t>Less Capex</t>
  </si>
  <si>
    <t>Check</t>
  </si>
  <si>
    <t>Growth Rate</t>
  </si>
  <si>
    <t>% of Business Retained after raise</t>
  </si>
  <si>
    <t>Startup year</t>
  </si>
  <si>
    <t>Terminal year</t>
  </si>
  <si>
    <t>Balance Sheet Check</t>
  </si>
  <si>
    <t>Total Assets</t>
  </si>
  <si>
    <t>Debt</t>
  </si>
  <si>
    <t>Total Liabilities</t>
  </si>
  <si>
    <t>Terminal Value Exit Multiple</t>
  </si>
  <si>
    <t>Terminal Value (EBITDA multiple)</t>
  </si>
  <si>
    <t>Revenue</t>
  </si>
  <si>
    <t>Charts &amp; Graphs</t>
  </si>
  <si>
    <t>EBITDA Margin</t>
  </si>
  <si>
    <t>Debt Issued (Repaid)</t>
  </si>
  <si>
    <t>Revolver</t>
  </si>
  <si>
    <t>Shareholder Equity</t>
  </si>
  <si>
    <t>Total Shareholder Equity</t>
  </si>
  <si>
    <t>Total Liabilities &amp; Shareholder Equity</t>
  </si>
  <si>
    <t>Increase (decrease) in Debt</t>
  </si>
  <si>
    <t>Debt Schedule</t>
  </si>
  <si>
    <t>Interest on Debt</t>
  </si>
  <si>
    <t>LTV/CAC</t>
  </si>
  <si>
    <t>Customer Acquisition Cost</t>
  </si>
  <si>
    <t>Life Time Value</t>
  </si>
  <si>
    <t>Burn Rate</t>
  </si>
  <si>
    <t>Cash Balance</t>
  </si>
  <si>
    <t>Interest Rate</t>
  </si>
  <si>
    <t>Less Changes in Working Capital</t>
  </si>
  <si>
    <t>Table of Contents</t>
  </si>
  <si>
    <t>Notes</t>
  </si>
  <si>
    <t>This Excel model has been prepared for demonstration and training purposes only. It should not be used for any other reason.</t>
  </si>
  <si>
    <t>Start-up Ecommerce Financial Model (Sample)</t>
  </si>
  <si>
    <t>Cost of Goods Sold (Gross Product Margin)</t>
  </si>
  <si>
    <t>EV/Revenue (2020E)</t>
  </si>
  <si>
    <t>Complete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</si>
</sst>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_);\(#,##0.0\)"/>
    <numFmt numFmtId="167" formatCode="0.0\x"/>
    <numFmt numFmtId="168" formatCode="#,##0.000_);\(#,##0.000\)"/>
    <numFmt numFmtId="169" formatCode="_-* #,##0_-;\(#,##0\)_-;_-* &quot;-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Arial Narrow"/>
      <family val="2"/>
    </font>
    <font>
      <i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FF"/>
      <name val="Arial Narrow"/>
      <family val="2"/>
    </font>
    <font>
      <i/>
      <sz val="11"/>
      <color theme="0"/>
      <name val="Arial Narrow"/>
      <family val="2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b/>
      <sz val="22"/>
      <color theme="0"/>
      <name val="Segoe UI"/>
      <family val="2"/>
    </font>
    <font>
      <b/>
      <sz val="11"/>
      <color theme="1"/>
      <name val="Segoe UI"/>
      <family val="2"/>
    </font>
    <font>
      <sz val="10"/>
      <color rgb="FFFB4F14"/>
      <name val="Arial"/>
      <family val="2"/>
    </font>
    <font>
      <u/>
      <sz val="10"/>
      <color theme="1"/>
      <name val="Segoe UI"/>
      <family val="2"/>
    </font>
    <font>
      <sz val="11"/>
      <color theme="0"/>
      <name val="Segoe UI"/>
      <family val="2"/>
    </font>
    <font>
      <b/>
      <sz val="11"/>
      <color theme="0"/>
      <name val="Arial Narrow"/>
      <family val="2"/>
    </font>
    <font>
      <i/>
      <sz val="11"/>
      <color theme="0" tint="-4.9989318521683403E-2"/>
      <name val="Arial Narrow"/>
      <family val="2"/>
    </font>
    <font>
      <sz val="14"/>
      <color theme="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b/>
      <sz val="11"/>
      <color rgb="FFFB4F14"/>
      <name val="Arial Narrow"/>
      <family val="2"/>
    </font>
    <font>
      <i/>
      <sz val="11"/>
      <color rgb="FF1E8496"/>
      <name val="Arial Narrow"/>
      <family val="2"/>
    </font>
    <font>
      <sz val="11"/>
      <color rgb="FF1E8496"/>
      <name val="Arial Narrow"/>
      <family val="2"/>
    </font>
    <font>
      <i/>
      <sz val="11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b/>
      <sz val="11"/>
      <color rgb="FF1E8496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rgb="FFFB4F14"/>
        <bgColor indexed="64"/>
      </patternFill>
    </fill>
    <fill>
      <patternFill patternType="solid">
        <fgColor rgb="FF03848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3878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double">
        <color theme="0" tint="-0.249977111117893"/>
      </bottom>
      <diagonal/>
    </border>
    <border>
      <left style="dotted">
        <color auto="1"/>
      </left>
      <right style="dotted">
        <color auto="1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37" fontId="7" fillId="0" borderId="0" xfId="0" applyNumberFormat="1" applyFont="1"/>
    <xf numFmtId="37" fontId="9" fillId="0" borderId="0" xfId="0" applyNumberFormat="1" applyFont="1"/>
    <xf numFmtId="37" fontId="10" fillId="0" borderId="0" xfId="0" applyNumberFormat="1" applyFont="1"/>
    <xf numFmtId="37" fontId="8" fillId="0" borderId="0" xfId="0" applyNumberFormat="1" applyFont="1"/>
    <xf numFmtId="165" fontId="10" fillId="0" borderId="0" xfId="1" applyNumberFormat="1" applyFont="1"/>
    <xf numFmtId="9" fontId="9" fillId="0" borderId="0" xfId="1" applyFont="1"/>
    <xf numFmtId="39" fontId="11" fillId="0" borderId="0" xfId="0" applyNumberFormat="1" applyFont="1"/>
    <xf numFmtId="166" fontId="7" fillId="0" borderId="0" xfId="0" applyNumberFormat="1" applyFont="1"/>
    <xf numFmtId="37" fontId="9" fillId="0" borderId="0" xfId="0" applyNumberFormat="1" applyFont="1" applyAlignment="1">
      <alignment horizontal="center"/>
    </xf>
    <xf numFmtId="37" fontId="12" fillId="0" borderId="0" xfId="0" applyNumberFormat="1" applyFont="1"/>
    <xf numFmtId="0" fontId="7" fillId="0" borderId="0" xfId="0" applyFont="1" applyAlignment="1">
      <alignment horizontal="left"/>
    </xf>
    <xf numFmtId="9" fontId="9" fillId="0" borderId="2" xfId="1" applyFont="1" applyBorder="1" applyAlignment="1">
      <alignment horizontal="center"/>
    </xf>
    <xf numFmtId="167" fontId="9" fillId="0" borderId="2" xfId="1" applyNumberFormat="1" applyFont="1" applyBorder="1" applyAlignment="1">
      <alignment horizontal="center"/>
    </xf>
    <xf numFmtId="37" fontId="6" fillId="0" borderId="0" xfId="0" applyNumberFormat="1" applyFont="1" applyAlignment="1">
      <alignment vertical="center"/>
    </xf>
    <xf numFmtId="9" fontId="12" fillId="0" borderId="0" xfId="1" applyFont="1"/>
    <xf numFmtId="0" fontId="16" fillId="5" borderId="0" xfId="4" applyFont="1" applyFill="1"/>
    <xf numFmtId="0" fontId="16" fillId="6" borderId="0" xfId="4" applyFont="1" applyFill="1"/>
    <xf numFmtId="0" fontId="16" fillId="4" borderId="0" xfId="4" applyFont="1" applyFill="1"/>
    <xf numFmtId="0" fontId="17" fillId="7" borderId="0" xfId="4" applyFont="1" applyFill="1" applyAlignment="1" applyProtection="1">
      <alignment horizontal="left" vertical="center"/>
      <protection locked="0"/>
    </xf>
    <xf numFmtId="0" fontId="18" fillId="4" borderId="0" xfId="4" applyFont="1" applyFill="1" applyAlignment="1">
      <alignment horizontal="right"/>
    </xf>
    <xf numFmtId="0" fontId="16" fillId="4" borderId="0" xfId="4" applyFont="1" applyFill="1" applyProtection="1">
      <protection locked="0"/>
    </xf>
    <xf numFmtId="0" fontId="16" fillId="4" borderId="0" xfId="4" applyFont="1" applyFill="1" applyAlignment="1">
      <alignment horizontal="right"/>
    </xf>
    <xf numFmtId="0" fontId="18" fillId="4" borderId="0" xfId="4" applyFont="1" applyFill="1" applyProtection="1">
      <protection locked="0"/>
    </xf>
    <xf numFmtId="0" fontId="19" fillId="4" borderId="0" xfId="5" applyFont="1" applyFill="1" applyAlignment="1" applyProtection="1">
      <alignment horizontal="left" indent="1"/>
      <protection locked="0"/>
    </xf>
    <xf numFmtId="0" fontId="16" fillId="4" borderId="1" xfId="4" applyFont="1" applyFill="1" applyBorder="1"/>
    <xf numFmtId="0" fontId="15" fillId="4" borderId="0" xfId="5" applyFill="1"/>
    <xf numFmtId="0" fontId="20" fillId="4" borderId="0" xfId="5" applyFont="1" applyFill="1"/>
    <xf numFmtId="0" fontId="21" fillId="6" borderId="0" xfId="4" applyFont="1" applyFill="1"/>
    <xf numFmtId="0" fontId="21" fillId="5" borderId="0" xfId="4" applyFont="1" applyFill="1"/>
    <xf numFmtId="37" fontId="7" fillId="0" borderId="0" xfId="0" applyNumberFormat="1" applyFont="1" applyAlignment="1">
      <alignment vertical="center"/>
    </xf>
    <xf numFmtId="37" fontId="24" fillId="8" borderId="0" xfId="0" applyNumberFormat="1" applyFont="1" applyFill="1" applyAlignment="1">
      <alignment horizontal="left" vertical="center" indent="1"/>
    </xf>
    <xf numFmtId="37" fontId="5" fillId="8" borderId="0" xfId="0" applyNumberFormat="1" applyFont="1" applyFill="1" applyAlignment="1">
      <alignment vertical="center"/>
    </xf>
    <xf numFmtId="37" fontId="5" fillId="9" borderId="0" xfId="0" applyNumberFormat="1" applyFont="1" applyFill="1" applyAlignment="1">
      <alignment vertical="center"/>
    </xf>
    <xf numFmtId="37" fontId="5" fillId="6" borderId="0" xfId="0" applyNumberFormat="1" applyFont="1" applyFill="1" applyAlignment="1">
      <alignment vertical="center"/>
    </xf>
    <xf numFmtId="37" fontId="4" fillId="5" borderId="0" xfId="0" applyNumberFormat="1" applyFont="1" applyFill="1" applyAlignment="1">
      <alignment vertical="top"/>
    </xf>
    <xf numFmtId="37" fontId="4" fillId="5" borderId="0" xfId="0" applyNumberFormat="1" applyFont="1" applyFill="1" applyAlignment="1">
      <alignment horizontal="right" vertical="top"/>
    </xf>
    <xf numFmtId="169" fontId="23" fillId="5" borderId="0" xfId="2" applyNumberFormat="1" applyFont="1" applyFill="1" applyAlignment="1" applyProtection="1">
      <alignment horizontal="left"/>
      <protection locked="0"/>
    </xf>
    <xf numFmtId="169" fontId="14" fillId="5" borderId="0" xfId="2" applyNumberFormat="1" applyFont="1" applyFill="1" applyAlignment="1" applyProtection="1">
      <alignment horizontal="left"/>
      <protection locked="0"/>
    </xf>
    <xf numFmtId="37" fontId="4" fillId="5" borderId="0" xfId="0" applyNumberFormat="1" applyFont="1" applyFill="1"/>
    <xf numFmtId="0" fontId="22" fillId="10" borderId="0" xfId="0" applyFont="1" applyFill="1"/>
    <xf numFmtId="0" fontId="22" fillId="3" borderId="0" xfId="0" applyFont="1" applyFill="1"/>
    <xf numFmtId="169" fontId="25" fillId="0" borderId="0" xfId="6" applyNumberFormat="1" applyFont="1" applyProtection="1">
      <protection locked="0"/>
    </xf>
    <xf numFmtId="169" fontId="25" fillId="0" borderId="0" xfId="6" applyNumberFormat="1" applyFont="1" applyAlignment="1" applyProtection="1">
      <alignment horizontal="center"/>
      <protection locked="0"/>
    </xf>
    <xf numFmtId="169" fontId="26" fillId="0" borderId="0" xfId="6" applyNumberFormat="1" applyFont="1" applyAlignment="1" applyProtection="1">
      <alignment horizontal="right"/>
      <protection locked="0"/>
    </xf>
    <xf numFmtId="0" fontId="27" fillId="0" borderId="0" xfId="0" applyFont="1"/>
    <xf numFmtId="37" fontId="7" fillId="0" borderId="0" xfId="0" applyNumberFormat="1" applyFont="1" applyAlignment="1">
      <alignment horizontal="left" indent="1"/>
    </xf>
    <xf numFmtId="37" fontId="7" fillId="0" borderId="5" xfId="0" applyNumberFormat="1" applyFont="1" applyBorder="1"/>
    <xf numFmtId="37" fontId="7" fillId="0" borderId="3" xfId="0" applyNumberFormat="1" applyFont="1" applyBorder="1" applyAlignment="1">
      <alignment horizontal="left" indent="1"/>
    </xf>
    <xf numFmtId="37" fontId="7" fillId="0" borderId="3" xfId="0" applyNumberFormat="1" applyFont="1" applyBorder="1"/>
    <xf numFmtId="37" fontId="9" fillId="0" borderId="3" xfId="0" applyNumberFormat="1" applyFont="1" applyBorder="1"/>
    <xf numFmtId="166" fontId="9" fillId="0" borderId="3" xfId="0" applyNumberFormat="1" applyFont="1" applyBorder="1"/>
    <xf numFmtId="9" fontId="9" fillId="0" borderId="3" xfId="1" applyFont="1" applyBorder="1"/>
    <xf numFmtId="37" fontId="7" fillId="0" borderId="0" xfId="0" applyNumberFormat="1" applyFont="1" applyFill="1"/>
    <xf numFmtId="37" fontId="7" fillId="11" borderId="3" xfId="0" applyNumberFormat="1" applyFont="1" applyFill="1" applyBorder="1" applyAlignment="1">
      <alignment horizontal="left" indent="1"/>
    </xf>
    <xf numFmtId="37" fontId="7" fillId="11" borderId="3" xfId="0" applyNumberFormat="1" applyFont="1" applyFill="1" applyBorder="1"/>
    <xf numFmtId="37" fontId="7" fillId="11" borderId="0" xfId="0" applyNumberFormat="1" applyFont="1" applyFill="1" applyAlignment="1">
      <alignment horizontal="left" indent="1"/>
    </xf>
    <xf numFmtId="37" fontId="7" fillId="11" borderId="0" xfId="0" applyNumberFormat="1" applyFont="1" applyFill="1"/>
    <xf numFmtId="37" fontId="8" fillId="0" borderId="6" xfId="0" applyNumberFormat="1" applyFont="1" applyBorder="1"/>
    <xf numFmtId="37" fontId="10" fillId="0" borderId="6" xfId="0" applyNumberFormat="1" applyFont="1" applyBorder="1"/>
    <xf numFmtId="165" fontId="10" fillId="0" borderId="6" xfId="1" applyNumberFormat="1" applyFont="1" applyBorder="1"/>
    <xf numFmtId="37" fontId="8" fillId="11" borderId="4" xfId="0" applyNumberFormat="1" applyFont="1" applyFill="1" applyBorder="1"/>
    <xf numFmtId="37" fontId="8" fillId="12" borderId="4" xfId="0" applyNumberFormat="1" applyFont="1" applyFill="1" applyBorder="1"/>
    <xf numFmtId="37" fontId="28" fillId="0" borderId="0" xfId="0" applyNumberFormat="1" applyFont="1" applyFill="1"/>
    <xf numFmtId="37" fontId="28" fillId="0" borderId="0" xfId="0" applyNumberFormat="1" applyFont="1"/>
    <xf numFmtId="37" fontId="9" fillId="0" borderId="7" xfId="0" applyNumberFormat="1" applyFont="1" applyBorder="1" applyAlignment="1">
      <alignment horizontal="center"/>
    </xf>
    <xf numFmtId="37" fontId="8" fillId="11" borderId="6" xfId="0" applyNumberFormat="1" applyFont="1" applyFill="1" applyBorder="1"/>
    <xf numFmtId="37" fontId="8" fillId="12" borderId="6" xfId="0" applyNumberFormat="1" applyFont="1" applyFill="1" applyBorder="1"/>
    <xf numFmtId="37" fontId="7" fillId="12" borderId="6" xfId="0" applyNumberFormat="1" applyFont="1" applyFill="1" applyBorder="1"/>
    <xf numFmtId="165" fontId="9" fillId="0" borderId="3" xfId="1" applyNumberFormat="1" applyFont="1" applyBorder="1"/>
    <xf numFmtId="165" fontId="8" fillId="11" borderId="6" xfId="1" applyNumberFormat="1" applyFont="1" applyFill="1" applyBorder="1"/>
    <xf numFmtId="37" fontId="8" fillId="12" borderId="6" xfId="0" applyNumberFormat="1" applyFont="1" applyFill="1" applyBorder="1" applyAlignment="1">
      <alignment horizontal="left" indent="1"/>
    </xf>
    <xf numFmtId="9" fontId="13" fillId="11" borderId="6" xfId="1" applyFont="1" applyFill="1" applyBorder="1"/>
    <xf numFmtId="37" fontId="7" fillId="11" borderId="5" xfId="0" applyNumberFormat="1" applyFont="1" applyFill="1" applyBorder="1"/>
    <xf numFmtId="37" fontId="8" fillId="12" borderId="8" xfId="0" applyNumberFormat="1" applyFont="1" applyFill="1" applyBorder="1"/>
    <xf numFmtId="37" fontId="7" fillId="0" borderId="3" xfId="0" applyNumberFormat="1" applyFont="1" applyFill="1" applyBorder="1"/>
    <xf numFmtId="37" fontId="8" fillId="11" borderId="8" xfId="0" applyNumberFormat="1" applyFont="1" applyFill="1" applyBorder="1"/>
    <xf numFmtId="39" fontId="9" fillId="0" borderId="5" xfId="0" applyNumberFormat="1" applyFont="1" applyBorder="1"/>
    <xf numFmtId="39" fontId="9" fillId="0" borderId="3" xfId="0" applyNumberFormat="1" applyFont="1" applyBorder="1"/>
    <xf numFmtId="39" fontId="11" fillId="11" borderId="6" xfId="0" applyNumberFormat="1" applyFont="1" applyFill="1" applyBorder="1"/>
    <xf numFmtId="37" fontId="7" fillId="11" borderId="5" xfId="0" applyNumberFormat="1" applyFont="1" applyFill="1" applyBorder="1" applyAlignment="1">
      <alignment horizontal="left" indent="1"/>
    </xf>
    <xf numFmtId="37" fontId="8" fillId="0" borderId="0" xfId="0" applyNumberFormat="1" applyFont="1" applyAlignment="1">
      <alignment horizontal="left" indent="1"/>
    </xf>
    <xf numFmtId="37" fontId="7" fillId="11" borderId="3" xfId="0" applyNumberFormat="1" applyFont="1" applyFill="1" applyBorder="1" applyAlignment="1">
      <alignment horizontal="left" indent="2"/>
    </xf>
    <xf numFmtId="37" fontId="7" fillId="11" borderId="5" xfId="0" applyNumberFormat="1" applyFont="1" applyFill="1" applyBorder="1" applyAlignment="1">
      <alignment horizontal="left" indent="2"/>
    </xf>
    <xf numFmtId="37" fontId="8" fillId="12" borderId="6" xfId="0" applyNumberFormat="1" applyFont="1" applyFill="1" applyBorder="1" applyAlignment="1">
      <alignment horizontal="left"/>
    </xf>
    <xf numFmtId="37" fontId="11" fillId="0" borderId="6" xfId="0" applyNumberFormat="1" applyFont="1" applyBorder="1"/>
    <xf numFmtId="37" fontId="9" fillId="11" borderId="6" xfId="0" applyNumberFormat="1" applyFont="1" applyFill="1" applyBorder="1"/>
    <xf numFmtId="37" fontId="7" fillId="12" borderId="6" xfId="0" applyNumberFormat="1" applyFont="1" applyFill="1" applyBorder="1" applyAlignment="1">
      <alignment horizontal="left" indent="2"/>
    </xf>
    <xf numFmtId="37" fontId="8" fillId="11" borderId="0" xfId="0" applyNumberFormat="1" applyFont="1" applyFill="1" applyAlignment="1">
      <alignment horizontal="left" indent="1"/>
    </xf>
    <xf numFmtId="166" fontId="7" fillId="0" borderId="3" xfId="0" applyNumberFormat="1" applyFont="1" applyBorder="1"/>
    <xf numFmtId="10" fontId="9" fillId="0" borderId="3" xfId="1" applyNumberFormat="1" applyFont="1" applyBorder="1"/>
    <xf numFmtId="37" fontId="13" fillId="2" borderId="3" xfId="0" applyNumberFormat="1" applyFont="1" applyFill="1" applyBorder="1"/>
    <xf numFmtId="10" fontId="9" fillId="11" borderId="3" xfId="1" applyNumberFormat="1" applyFont="1" applyFill="1" applyBorder="1" applyAlignment="1">
      <alignment horizontal="center"/>
    </xf>
    <xf numFmtId="37" fontId="9" fillId="13" borderId="9" xfId="0" applyNumberFormat="1" applyFont="1" applyFill="1" applyBorder="1" applyAlignment="1">
      <alignment horizontal="center"/>
    </xf>
    <xf numFmtId="37" fontId="12" fillId="0" borderId="3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29" fillId="0" borderId="5" xfId="0" applyNumberFormat="1" applyFont="1" applyBorder="1" applyAlignment="1">
      <alignment horizontal="left"/>
    </xf>
    <xf numFmtId="37" fontId="29" fillId="0" borderId="5" xfId="0" applyNumberFormat="1" applyFont="1" applyBorder="1"/>
    <xf numFmtId="165" fontId="29" fillId="0" borderId="5" xfId="1" applyNumberFormat="1" applyFont="1" applyBorder="1"/>
    <xf numFmtId="37" fontId="30" fillId="0" borderId="0" xfId="0" applyNumberFormat="1" applyFont="1"/>
    <xf numFmtId="37" fontId="31" fillId="0" borderId="0" xfId="0" applyNumberFormat="1" applyFont="1"/>
    <xf numFmtId="37" fontId="32" fillId="0" borderId="0" xfId="0" applyNumberFormat="1" applyFont="1"/>
    <xf numFmtId="168" fontId="31" fillId="0" borderId="0" xfId="0" applyNumberFormat="1" applyFont="1"/>
    <xf numFmtId="37" fontId="22" fillId="6" borderId="0" xfId="0" applyNumberFormat="1" applyFont="1" applyFill="1"/>
    <xf numFmtId="37" fontId="4" fillId="6" borderId="0" xfId="0" applyNumberFormat="1" applyFont="1" applyFill="1"/>
    <xf numFmtId="9" fontId="4" fillId="6" borderId="0" xfId="1" applyFont="1" applyFill="1"/>
    <xf numFmtId="167" fontId="4" fillId="6" borderId="0" xfId="0" applyNumberFormat="1" applyFont="1" applyFill="1"/>
    <xf numFmtId="39" fontId="4" fillId="6" borderId="0" xfId="0" applyNumberFormat="1" applyFont="1" applyFill="1"/>
    <xf numFmtId="167" fontId="22" fillId="6" borderId="0" xfId="1" applyNumberFormat="1" applyFont="1" applyFill="1" applyAlignment="1">
      <alignment horizontal="right"/>
    </xf>
    <xf numFmtId="9" fontId="22" fillId="6" borderId="0" xfId="1" applyFont="1" applyFill="1"/>
    <xf numFmtId="164" fontId="22" fillId="6" borderId="0" xfId="3" applyFont="1" applyFill="1"/>
    <xf numFmtId="37" fontId="22" fillId="6" borderId="0" xfId="0" applyNumberFormat="1" applyFont="1" applyFill="1" applyBorder="1"/>
    <xf numFmtId="37" fontId="4" fillId="6" borderId="5" xfId="0" applyNumberFormat="1" applyFont="1" applyFill="1" applyBorder="1"/>
    <xf numFmtId="37" fontId="22" fillId="5" borderId="0" xfId="0" applyNumberFormat="1" applyFont="1" applyFill="1" applyAlignment="1">
      <alignment vertical="center"/>
    </xf>
    <xf numFmtId="37" fontId="4" fillId="5" borderId="0" xfId="0" applyNumberFormat="1" applyFont="1" applyFill="1" applyAlignment="1">
      <alignment vertical="center"/>
    </xf>
    <xf numFmtId="37" fontId="4" fillId="10" borderId="0" xfId="0" applyNumberFormat="1" applyFont="1" applyFill="1" applyAlignment="1">
      <alignment vertical="center"/>
    </xf>
    <xf numFmtId="14" fontId="7" fillId="0" borderId="0" xfId="0" applyNumberFormat="1" applyFont="1" applyAlignment="1">
      <alignment vertical="center"/>
    </xf>
    <xf numFmtId="165" fontId="7" fillId="0" borderId="3" xfId="1" applyNumberFormat="1" applyFont="1" applyBorder="1"/>
    <xf numFmtId="165" fontId="33" fillId="0" borderId="3" xfId="1" applyNumberFormat="1" applyFont="1" applyBorder="1"/>
    <xf numFmtId="37" fontId="33" fillId="0" borderId="0" xfId="0" applyNumberFormat="1" applyFont="1"/>
    <xf numFmtId="167" fontId="7" fillId="0" borderId="3" xfId="0" applyNumberFormat="1" applyFont="1" applyBorder="1"/>
    <xf numFmtId="37" fontId="33" fillId="11" borderId="3" xfId="0" applyNumberFormat="1" applyFont="1" applyFill="1" applyBorder="1"/>
  </cellXfs>
  <cellStyles count="7">
    <cellStyle name="Comma" xfId="3" builtinId="3"/>
    <cellStyle name="Comma 2" xfId="2" xr:uid="{00000000-0005-0000-0000-000001000000}"/>
    <cellStyle name="Comma 4" xfId="6" xr:uid="{36E0F0F9-57D7-48FC-BECC-18AA296BE9DB}"/>
    <cellStyle name="Hyperlink 2 2" xfId="5" xr:uid="{5B73AB34-8F85-4F4B-B19C-C9DF2CD78956}"/>
    <cellStyle name="Normal" xfId="0" builtinId="0"/>
    <cellStyle name="Normal 2 2" xfId="4" xr:uid="{2AD91865-5E31-493B-B11C-3D2A8F4BA907}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B4F14"/>
      <color rgb="FF1E8496"/>
      <color rgb="FF0000FF"/>
      <color rgb="FFED942D"/>
      <color rgb="FFFA621C"/>
      <color rgb="FF132E57"/>
      <color rgb="FFED93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022821857737"/>
          <c:y val="5.0925925925925923E-2"/>
          <c:w val="0.7180547584757524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'Startup E-Commerce'!$A$301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'Startup E-Commerce'!$E$2:$K$2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'Startup E-Commerce'!$E$301:$K$301</c:f>
            </c:numRef>
          </c:val>
          <c:extLst>
            <c:ext xmlns:c16="http://schemas.microsoft.com/office/drawing/2014/chart" uri="{C3380CC4-5D6E-409C-BE32-E72D297353CC}">
              <c16:uniqueId val="{00000000-0D99-4E04-ADA2-B2A4CA699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18379440"/>
        <c:axId val="618384032"/>
      </c:barChart>
      <c:lineChart>
        <c:grouping val="standard"/>
        <c:varyColors val="0"/>
        <c:ser>
          <c:idx val="2"/>
          <c:order val="1"/>
          <c:tx>
            <c:strRef>
              <c:f>'Startup E-Commerce'!$A$303</c:f>
              <c:strCache>
                <c:ptCount val="1"/>
                <c:pt idx="0">
                  <c:v>EBITDA Margin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'Startup E-Commerce'!$E$303:$K$303</c:f>
            </c:numRef>
          </c:val>
          <c:smooth val="0"/>
          <c:extLst>
            <c:ext xmlns:c16="http://schemas.microsoft.com/office/drawing/2014/chart" uri="{C3380CC4-5D6E-409C-BE32-E72D297353CC}">
              <c16:uniqueId val="{00000002-0D99-4E04-ADA2-B2A4CA699E47}"/>
            </c:ext>
          </c:extLst>
        </c:ser>
        <c:ser>
          <c:idx val="1"/>
          <c:order val="2"/>
          <c:tx>
            <c:strRef>
              <c:f>'Startup E-Commerce'!$A$302</c:f>
              <c:strCache>
                <c:ptCount val="1"/>
                <c:pt idx="0">
                  <c:v>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'Startup E-Commerce'!$E$302:$K$302</c:f>
            </c:numRef>
          </c:val>
          <c:smooth val="0"/>
          <c:extLst>
            <c:ext xmlns:c16="http://schemas.microsoft.com/office/drawing/2014/chart" uri="{C3380CC4-5D6E-409C-BE32-E72D297353CC}">
              <c16:uniqueId val="{00000000-5D2A-4E20-BBA3-FAF139DF2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82976"/>
        <c:axId val="608085272"/>
      </c:lineChart>
      <c:catAx>
        <c:axId val="6183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84032"/>
        <c:crosses val="autoZero"/>
        <c:auto val="1"/>
        <c:lblAlgn val="ctr"/>
        <c:lblOffset val="100"/>
        <c:noMultiLvlLbl val="0"/>
      </c:catAx>
      <c:valAx>
        <c:axId val="618384032"/>
        <c:scaling>
          <c:orientation val="minMax"/>
          <c:min val="-15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 ($ millions)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8352252843394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79440"/>
        <c:crosses val="autoZero"/>
        <c:crossBetween val="between"/>
        <c:dispUnits>
          <c:builtInUnit val="millions"/>
        </c:dispUnits>
      </c:valAx>
      <c:valAx>
        <c:axId val="608085272"/>
        <c:scaling>
          <c:orientation val="minMax"/>
          <c:max val="1"/>
          <c:min val="-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MarginMargin</a:t>
                </a:r>
              </a:p>
            </c:rich>
          </c:tx>
          <c:layout>
            <c:manualLayout>
              <c:xMode val="edge"/>
              <c:yMode val="edge"/>
              <c:x val="0.95776377952755909"/>
              <c:y val="0.31349919801691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08082976"/>
        <c:crosses val="max"/>
        <c:crossBetween val="between"/>
        <c:majorUnit val="0.25"/>
      </c:valAx>
      <c:catAx>
        <c:axId val="60808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08085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135121482678783"/>
          <c:y val="2.819852063946552E-2"/>
          <c:w val="0.29238999006154986"/>
          <c:h val="0.20797597144013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609619677614"/>
          <c:y val="5.0926111056426408E-2"/>
          <c:w val="0.76542104111985998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'Startup E-Commerce'!$A$305</c:f>
              <c:strCache>
                <c:ptCount val="1"/>
                <c:pt idx="0">
                  <c:v>Customer Acquisition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'Startup E-Commerce'!$E$2:$K$2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'Startup E-Commerce'!$E$305:$K$305</c:f>
            </c:numRef>
          </c:val>
          <c:extLst>
            <c:ext xmlns:c16="http://schemas.microsoft.com/office/drawing/2014/chart" uri="{C3380CC4-5D6E-409C-BE32-E72D297353CC}">
              <c16:uniqueId val="{00000000-9906-4669-9D21-B1E214D400C0}"/>
            </c:ext>
          </c:extLst>
        </c:ser>
        <c:ser>
          <c:idx val="1"/>
          <c:order val="2"/>
          <c:tx>
            <c:strRef>
              <c:f>'Startup E-Commerce'!$A$306</c:f>
              <c:strCache>
                <c:ptCount val="1"/>
                <c:pt idx="0">
                  <c:v>Life Time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'Startup E-Commerce'!$E$306:$K$306</c:f>
            </c:numRef>
          </c:val>
          <c:extLst>
            <c:ext xmlns:c16="http://schemas.microsoft.com/office/drawing/2014/chart" uri="{C3380CC4-5D6E-409C-BE32-E72D297353CC}">
              <c16:uniqueId val="{00000002-9906-4669-9D21-B1E214D4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8379440"/>
        <c:axId val="618384032"/>
      </c:barChart>
      <c:lineChart>
        <c:grouping val="standard"/>
        <c:varyColors val="0"/>
        <c:ser>
          <c:idx val="2"/>
          <c:order val="1"/>
          <c:tx>
            <c:strRef>
              <c:f>'Startup E-Commerce'!$A$307</c:f>
              <c:strCache>
                <c:ptCount val="1"/>
                <c:pt idx="0">
                  <c:v>LTV/CAC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'Startup E-Commerce'!$E$307:$K$307</c:f>
            </c:numRef>
          </c:val>
          <c:smooth val="0"/>
          <c:extLst>
            <c:ext xmlns:c16="http://schemas.microsoft.com/office/drawing/2014/chart" uri="{C3380CC4-5D6E-409C-BE32-E72D297353CC}">
              <c16:uniqueId val="{00000001-9906-4669-9D21-B1E214D4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82976"/>
        <c:axId val="608085272"/>
      </c:lineChart>
      <c:catAx>
        <c:axId val="6183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84032"/>
        <c:crosses val="autoZero"/>
        <c:auto val="1"/>
        <c:lblAlgn val="ctr"/>
        <c:lblOffset val="100"/>
        <c:noMultiLvlLbl val="0"/>
      </c:catAx>
      <c:valAx>
        <c:axId val="618384032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79440"/>
        <c:crosses val="autoZero"/>
        <c:crossBetween val="between"/>
      </c:valAx>
      <c:valAx>
        <c:axId val="608085272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LTV/CAC Ratio</a:t>
                </a:r>
              </a:p>
            </c:rich>
          </c:tx>
          <c:layout>
            <c:manualLayout>
              <c:xMode val="edge"/>
              <c:yMode val="edge"/>
              <c:x val="0.95776377952755909"/>
              <c:y val="0.350536235053951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</c:title>
        <c:numFmt formatCode="0.0\x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08082976"/>
        <c:crosses val="max"/>
        <c:crossBetween val="between"/>
      </c:valAx>
      <c:catAx>
        <c:axId val="60808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08085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345691163604549"/>
          <c:y val="2.7777777777777776E-2"/>
          <c:w val="0.53197506561679786"/>
          <c:h val="0.19743177064242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2292213473316"/>
          <c:y val="5.0925925925925923E-2"/>
          <c:w val="0.7737543744531933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'Startup E-Commerce'!$A$309</c:f>
              <c:strCache>
                <c:ptCount val="1"/>
                <c:pt idx="0">
                  <c:v>Customer Acquisition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'Startup E-Commerce'!$E$2:$K$2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'Startup E-Commerce'!$E$309:$K$309</c:f>
            </c:numRef>
          </c:val>
          <c:extLst>
            <c:ext xmlns:c16="http://schemas.microsoft.com/office/drawing/2014/chart" uri="{C3380CC4-5D6E-409C-BE32-E72D297353CC}">
              <c16:uniqueId val="{00000000-B6AA-42D9-BB7E-09AB60D4D65E}"/>
            </c:ext>
          </c:extLst>
        </c:ser>
        <c:ser>
          <c:idx val="1"/>
          <c:order val="2"/>
          <c:tx>
            <c:strRef>
              <c:f>'Startup E-Commerce'!$A$310</c:f>
              <c:strCache>
                <c:ptCount val="1"/>
                <c:pt idx="0">
                  <c:v>Contribution Margin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'Startup E-Commerce'!$E$310:$K$310</c:f>
            </c:numRef>
          </c:val>
          <c:extLst>
            <c:ext xmlns:c16="http://schemas.microsoft.com/office/drawing/2014/chart" uri="{C3380CC4-5D6E-409C-BE32-E72D297353CC}">
              <c16:uniqueId val="{00000001-B6AA-42D9-BB7E-09AB60D4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8379440"/>
        <c:axId val="618384032"/>
      </c:barChart>
      <c:lineChart>
        <c:grouping val="standard"/>
        <c:varyColors val="0"/>
        <c:ser>
          <c:idx val="2"/>
          <c:order val="1"/>
          <c:tx>
            <c:strRef>
              <c:f>'Startup E-Commerce'!$A$311</c:f>
              <c:strCache>
                <c:ptCount val="1"/>
                <c:pt idx="0">
                  <c:v>Payback (# of orders)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'Startup E-Commerce'!$E$311:$K$311</c:f>
            </c:numRef>
          </c:val>
          <c:smooth val="0"/>
          <c:extLst>
            <c:ext xmlns:c16="http://schemas.microsoft.com/office/drawing/2014/chart" uri="{C3380CC4-5D6E-409C-BE32-E72D297353CC}">
              <c16:uniqueId val="{00000002-B6AA-42D9-BB7E-09AB60D4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82976"/>
        <c:axId val="608085272"/>
      </c:lineChart>
      <c:catAx>
        <c:axId val="6183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84032"/>
        <c:crosses val="autoZero"/>
        <c:auto val="1"/>
        <c:lblAlgn val="ctr"/>
        <c:lblOffset val="100"/>
        <c:noMultiLvlLbl val="0"/>
      </c:catAx>
      <c:valAx>
        <c:axId val="618384032"/>
        <c:scaling>
          <c:orientation val="minMax"/>
          <c:max val="200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79440"/>
        <c:crosses val="autoZero"/>
        <c:crossBetween val="between"/>
      </c:valAx>
      <c:valAx>
        <c:axId val="608085272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Payback (# orders)</a:t>
                </a:r>
              </a:p>
            </c:rich>
          </c:tx>
          <c:layout>
            <c:manualLayout>
              <c:xMode val="edge"/>
              <c:yMode val="edge"/>
              <c:x val="0.95776377952755909"/>
              <c:y val="0.350536235053951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08082976"/>
        <c:crosses val="max"/>
        <c:crossBetween val="between"/>
      </c:valAx>
      <c:catAx>
        <c:axId val="60808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08085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064811411267154"/>
          <c:y val="1.0277809164491798E-2"/>
          <c:w val="0.53197506561679786"/>
          <c:h val="0.19743177064242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895888013998"/>
          <c:y val="5.0925925925925923E-2"/>
          <c:w val="0.86542104111985996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'Startup E-Commerce'!$A$313</c:f>
              <c:strCache>
                <c:ptCount val="1"/>
                <c:pt idx="0">
                  <c:v>Burn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'Startup E-Commerce'!$D$2:$K$2</c:f>
              <c:numCache>
                <c:formatCode>General</c:formatCode>
                <c:ptCount val="8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'Startup E-Commerce'!$D$313:$K$313</c:f>
            </c:numRef>
          </c:val>
          <c:extLst>
            <c:ext xmlns:c16="http://schemas.microsoft.com/office/drawing/2014/chart" uri="{C3380CC4-5D6E-409C-BE32-E72D297353CC}">
              <c16:uniqueId val="{00000000-0204-426A-8952-7146F98E1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18379440"/>
        <c:axId val="618384032"/>
      </c:barChart>
      <c:lineChart>
        <c:grouping val="standard"/>
        <c:varyColors val="0"/>
        <c:ser>
          <c:idx val="1"/>
          <c:order val="1"/>
          <c:tx>
            <c:strRef>
              <c:f>'Startup E-Commerce'!$A$314</c:f>
              <c:strCache>
                <c:ptCount val="1"/>
                <c:pt idx="0">
                  <c:v>Cash 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'Startup E-Commerce'!$D$314:$K$314</c:f>
            </c:numRef>
          </c:val>
          <c:smooth val="0"/>
          <c:extLst>
            <c:ext xmlns:c16="http://schemas.microsoft.com/office/drawing/2014/chart" uri="{C3380CC4-5D6E-409C-BE32-E72D297353CC}">
              <c16:uniqueId val="{00000002-0204-426A-8952-7146F98E1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379440"/>
        <c:axId val="618384032"/>
      </c:lineChart>
      <c:catAx>
        <c:axId val="618379440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84032"/>
        <c:crosses val="autoZero"/>
        <c:auto val="1"/>
        <c:lblAlgn val="ctr"/>
        <c:lblOffset val="100"/>
        <c:noMultiLvlLbl val="0"/>
      </c:catAx>
      <c:valAx>
        <c:axId val="618384032"/>
        <c:scaling>
          <c:orientation val="minMax"/>
          <c:min val="-5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Burn ($ millions)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8352252843394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837944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csconsulting.pk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328929</xdr:colOff>
      <xdr:row>15</xdr:row>
      <xdr:rowOff>185420</xdr:rowOff>
    </xdr:from>
    <xdr:to>
      <xdr:col>14</xdr:col>
      <xdr:colOff>556669</xdr:colOff>
      <xdr:row>22</xdr:row>
      <xdr:rowOff>245520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B2CB05-2772-4CF3-AA86-9ABCA116C7E2}"/>
            </a:ext>
          </a:extLst>
        </xdr:cNvPr>
        <xdr:cNvSpPr/>
      </xdr:nvSpPr>
      <xdr:spPr>
        <a:xfrm>
          <a:off x="10215879" y="3900170"/>
          <a:ext cx="1764440" cy="1793650"/>
        </a:xfrm>
        <a:prstGeom prst="ellipse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200" b="0">
              <a:latin typeface="Segoe UI" panose="020B0502040204020203" pitchFamily="34" charset="0"/>
              <a:cs typeface="Segoe UI" panose="020B0502040204020203" pitchFamily="34" charset="0"/>
            </a:rPr>
            <a:t>Dummy Data</a:t>
          </a:r>
        </a:p>
        <a:p>
          <a:pPr algn="r"/>
          <a:endParaRPr lang="en-US" sz="1100"/>
        </a:p>
        <a:p>
          <a:pPr algn="r"/>
          <a:r>
            <a:rPr lang="en-US" sz="1100"/>
            <a:t>For Training Purpose</a:t>
          </a:r>
          <a:r>
            <a:rPr lang="en-US" sz="1100" baseline="0"/>
            <a:t> Only</a:t>
          </a:r>
          <a:endParaRPr lang="en-PK" sz="1100"/>
        </a:p>
      </xdr:txBody>
    </xdr:sp>
    <xdr:clientData/>
  </xdr:twoCellAnchor>
  <xdr:twoCellAnchor>
    <xdr:from>
      <xdr:col>13</xdr:col>
      <xdr:colOff>20320</xdr:colOff>
      <xdr:row>18</xdr:row>
      <xdr:rowOff>241300</xdr:rowOff>
    </xdr:from>
    <xdr:to>
      <xdr:col>14</xdr:col>
      <xdr:colOff>405130</xdr:colOff>
      <xdr:row>18</xdr:row>
      <xdr:rowOff>241300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98092E7-9EE1-453B-BE50-46646E21AF5F}"/>
            </a:ext>
          </a:extLst>
        </xdr:cNvPr>
        <xdr:cNvCxnSpPr/>
      </xdr:nvCxnSpPr>
      <xdr:spPr>
        <a:xfrm>
          <a:off x="10675620" y="4699000"/>
          <a:ext cx="115316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293077</xdr:colOff>
      <xdr:row>3</xdr:row>
      <xdr:rowOff>68385</xdr:rowOff>
    </xdr:from>
    <xdr:to>
      <xdr:col>15</xdr:col>
      <xdr:colOff>366574</xdr:colOff>
      <xdr:row>9</xdr:row>
      <xdr:rowOff>230544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A7872-B5C8-4484-A91F-DB5562820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846" y="801077"/>
          <a:ext cx="3160574" cy="1627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180181</xdr:colOff>
      <xdr:row>316</xdr:row>
      <xdr:rowOff>42294</xdr:rowOff>
    </xdr:from>
    <xdr:to>
      <xdr:col>5</xdr:col>
      <xdr:colOff>927893</xdr:colOff>
      <xdr:row>330</xdr:row>
      <xdr:rowOff>161130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431140</xdr:colOff>
      <xdr:row>333</xdr:row>
      <xdr:rowOff>48091</xdr:rowOff>
    </xdr:from>
    <xdr:to>
      <xdr:col>10</xdr:col>
      <xdr:colOff>870857</xdr:colOff>
      <xdr:row>347</xdr:row>
      <xdr:rowOff>108859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177800</xdr:colOff>
      <xdr:row>333</xdr:row>
      <xdr:rowOff>48091</xdr:rowOff>
    </xdr:from>
    <xdr:to>
      <xdr:col>5</xdr:col>
      <xdr:colOff>925512</xdr:colOff>
      <xdr:row>347</xdr:row>
      <xdr:rowOff>108859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431140</xdr:colOff>
      <xdr:row>316</xdr:row>
      <xdr:rowOff>58963</xdr:rowOff>
    </xdr:from>
    <xdr:to>
      <xdr:col>10</xdr:col>
      <xdr:colOff>817811</xdr:colOff>
      <xdr:row>330</xdr:row>
      <xdr:rowOff>177799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0D5A-933A-445F-BDE6-53291162141F}">
  <sheetPr>
    <tabColor rgb="FF1E8496"/>
  </sheetPr>
  <dimension ref="B1:Q46"/>
  <sheetViews>
    <sheetView tabSelected="1" zoomScale="65" zoomScaleNormal="65" workbookViewId="0">
      <selection activeCell="T16" sqref="T16"/>
    </sheetView>
  </sheetViews>
  <sheetFormatPr defaultColWidth="9.1796875" defaultRowHeight="16.5" x14ac:dyDescent="0.45"/>
  <cols>
    <col min="1" max="1" width="9.1796875" style="16"/>
    <col min="2" max="2" width="4.1796875" style="16" customWidth="1"/>
    <col min="3" max="3" width="11" style="16" customWidth="1"/>
    <col min="4" max="4" width="29.1796875" style="16" customWidth="1"/>
    <col min="5" max="16" width="11" style="16" customWidth="1"/>
    <col min="17" max="17" width="4.1796875" style="16" customWidth="1"/>
    <col min="18" max="23" width="11" style="16" customWidth="1"/>
    <col min="24" max="16384" width="9.1796875" style="16"/>
  </cols>
  <sheetData>
    <row r="1" spans="2:17" ht="19.5" customHeight="1" x14ac:dyDescent="0.45"/>
    <row r="2" spans="2:17" ht="19.5" customHeight="1" x14ac:dyDescent="0.4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9.5" customHeight="1" x14ac:dyDescent="0.4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</row>
    <row r="4" spans="2:17" ht="19.5" customHeight="1" x14ac:dyDescent="0.4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</row>
    <row r="5" spans="2:17" ht="19.5" customHeight="1" x14ac:dyDescent="0.4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7"/>
    </row>
    <row r="6" spans="2:17" ht="19.5" customHeight="1" x14ac:dyDescent="0.4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7"/>
    </row>
    <row r="7" spans="2:17" ht="19.5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</row>
    <row r="8" spans="2:17" ht="19.5" customHeight="1" x14ac:dyDescent="0.4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</row>
    <row r="9" spans="2:17" ht="19.5" customHeight="1" x14ac:dyDescent="0.4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7"/>
    </row>
    <row r="10" spans="2:17" ht="19.5" customHeight="1" x14ac:dyDescent="0.4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</row>
    <row r="11" spans="2:17" ht="19.5" customHeight="1" x14ac:dyDescent="0.45">
      <c r="B11" s="17"/>
      <c r="C11" s="18"/>
      <c r="D11" s="19" t="s">
        <v>165</v>
      </c>
      <c r="E11" s="19"/>
      <c r="F11" s="19"/>
      <c r="G11" s="19"/>
      <c r="H11" s="19"/>
      <c r="I11" s="19"/>
      <c r="J11" s="19"/>
      <c r="K11" s="18"/>
      <c r="L11" s="18"/>
      <c r="M11" s="18"/>
      <c r="N11" s="18"/>
      <c r="O11" s="18"/>
      <c r="P11" s="18"/>
      <c r="Q11" s="17"/>
    </row>
    <row r="12" spans="2:17" ht="19.5" customHeight="1" x14ac:dyDescent="0.45">
      <c r="B12" s="17"/>
      <c r="C12" s="18"/>
      <c r="D12" s="19"/>
      <c r="E12" s="19"/>
      <c r="F12" s="19"/>
      <c r="G12" s="19"/>
      <c r="H12" s="19"/>
      <c r="I12" s="19"/>
      <c r="J12" s="19"/>
      <c r="K12" s="18"/>
      <c r="L12" s="18"/>
      <c r="M12" s="18"/>
      <c r="N12" s="18"/>
      <c r="O12" s="20"/>
      <c r="P12" s="18"/>
      <c r="Q12" s="17"/>
    </row>
    <row r="13" spans="2:17" ht="19.5" customHeight="1" x14ac:dyDescent="0.45">
      <c r="B13" s="17"/>
      <c r="C13" s="18"/>
      <c r="D13" s="2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2"/>
      <c r="P13" s="18"/>
      <c r="Q13" s="17"/>
    </row>
    <row r="14" spans="2:17" ht="19.5" customHeight="1" x14ac:dyDescent="0.45">
      <c r="B14" s="17"/>
      <c r="C14" s="18"/>
      <c r="D14" s="23" t="s">
        <v>162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/>
    </row>
    <row r="15" spans="2:17" ht="19.5" customHeight="1" x14ac:dyDescent="0.45">
      <c r="B15" s="17"/>
      <c r="C15" s="18"/>
      <c r="D15" s="24" t="s">
        <v>168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/>
    </row>
    <row r="16" spans="2:17" ht="19.5" customHeight="1" x14ac:dyDescent="0.45">
      <c r="B16" s="17"/>
      <c r="C16" s="18"/>
      <c r="D16" s="2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7"/>
    </row>
    <row r="17" spans="2:17" ht="19.5" customHeight="1" x14ac:dyDescent="0.45">
      <c r="B17" s="17"/>
      <c r="C17" s="18"/>
      <c r="D17" s="2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/>
    </row>
    <row r="18" spans="2:17" ht="19.5" customHeight="1" x14ac:dyDescent="0.45">
      <c r="B18" s="17"/>
      <c r="C18" s="18"/>
      <c r="D18" s="2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7"/>
    </row>
    <row r="19" spans="2:17" ht="19.5" customHeight="1" x14ac:dyDescent="0.45">
      <c r="B19" s="17"/>
      <c r="C19" s="18"/>
      <c r="D19" s="18" t="s">
        <v>163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7"/>
    </row>
    <row r="20" spans="2:17" ht="19.5" customHeight="1" x14ac:dyDescent="0.45">
      <c r="B20" s="17"/>
      <c r="C20" s="18"/>
      <c r="D20" s="25" t="s">
        <v>164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8"/>
      <c r="Q20" s="17"/>
    </row>
    <row r="21" spans="2:17" ht="19.5" customHeight="1" x14ac:dyDescent="0.4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</row>
    <row r="22" spans="2:17" ht="19.5" customHeight="1" x14ac:dyDescent="0.45">
      <c r="B22" s="17"/>
      <c r="C22" s="18"/>
      <c r="D22" s="2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</row>
    <row r="23" spans="2:17" ht="19.5" customHeight="1" x14ac:dyDescent="0.45">
      <c r="B23" s="17"/>
      <c r="C23" s="18"/>
      <c r="D23" s="2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  <row r="24" spans="2:17" ht="19.5" customHeight="1" x14ac:dyDescent="0.45">
      <c r="B24" s="17"/>
      <c r="C24" s="17"/>
      <c r="D24" s="2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19.5" customHeight="1" x14ac:dyDescent="0.45"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7" ht="19.5" customHeight="1" x14ac:dyDescent="0.45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2:17" ht="19.5" customHeight="1" x14ac:dyDescent="0.4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7" ht="19.5" customHeight="1" x14ac:dyDescent="0.45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2:17" ht="19.5" customHeight="1" x14ac:dyDescent="0.45"/>
    <row r="30" spans="2:17" ht="19.5" customHeight="1" x14ac:dyDescent="0.45"/>
    <row r="31" spans="2:17" ht="19.5" customHeight="1" x14ac:dyDescent="0.45"/>
    <row r="32" spans="2:17" ht="19.5" customHeight="1" x14ac:dyDescent="0.45"/>
    <row r="33" ht="19.5" customHeight="1" x14ac:dyDescent="0.45"/>
    <row r="34" ht="19.5" customHeight="1" x14ac:dyDescent="0.45"/>
    <row r="35" ht="19.5" customHeight="1" x14ac:dyDescent="0.45"/>
    <row r="36" ht="19.5" customHeight="1" x14ac:dyDescent="0.45"/>
    <row r="37" ht="19.5" customHeight="1" x14ac:dyDescent="0.45"/>
    <row r="38" ht="19.5" customHeight="1" x14ac:dyDescent="0.45"/>
    <row r="39" ht="19.5" customHeight="1" x14ac:dyDescent="0.45"/>
    <row r="40" ht="19.5" customHeight="1" x14ac:dyDescent="0.45"/>
    <row r="41" ht="19.5" customHeight="1" x14ac:dyDescent="0.45"/>
    <row r="42" ht="19.5" customHeight="1" x14ac:dyDescent="0.45"/>
    <row r="43" ht="19.5" customHeight="1" x14ac:dyDescent="0.45"/>
    <row r="44" ht="19.5" customHeight="1" x14ac:dyDescent="0.45"/>
    <row r="45" ht="19.5" customHeight="1" x14ac:dyDescent="0.45"/>
    <row r="46" ht="19.5" customHeight="1" x14ac:dyDescent="0.45"/>
  </sheetData>
  <mergeCells count="1">
    <mergeCell ref="D11:J12"/>
  </mergeCells>
  <hyperlinks>
    <hyperlink ref="D15" location="'Startup E-Commerce'!A1" display="Complete Financial Model" xr:uid="{7A2A443F-DF11-4F3D-B416-AD8D47591B2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0"/>
  <sheetViews>
    <sheetView showGridLines="0" zoomScaleNormal="100" workbookViewId="0">
      <pane ySplit="3" topLeftCell="A4" activePane="bottomLeft" state="frozen"/>
      <selection activeCell="E190" sqref="E190"/>
      <selection pane="bottomLeft" activeCell="H292" sqref="H292"/>
    </sheetView>
  </sheetViews>
  <sheetFormatPr defaultColWidth="9.08984375" defaultRowHeight="14" outlineLevelRow="1" x14ac:dyDescent="0.3"/>
  <cols>
    <col min="1" max="3" width="9.453125" style="1" customWidth="1"/>
    <col min="4" max="4" width="10.6328125" style="1" customWidth="1"/>
    <col min="5" max="12" width="14.54296875" style="1" customWidth="1"/>
    <col min="13" max="16384" width="9.08984375" style="1"/>
  </cols>
  <sheetData>
    <row r="1" spans="1:18" ht="16.5" customHeight="1" x14ac:dyDescent="0.3">
      <c r="A1" s="35"/>
      <c r="B1" s="35"/>
      <c r="C1" s="35"/>
      <c r="D1" s="35"/>
      <c r="E1" s="36" t="s">
        <v>136</v>
      </c>
      <c r="F1" s="35"/>
      <c r="G1" s="35"/>
      <c r="H1" s="35"/>
      <c r="I1" s="35"/>
      <c r="J1" s="35"/>
      <c r="K1" s="36" t="s">
        <v>137</v>
      </c>
    </row>
    <row r="2" spans="1:18" ht="16.5" customHeight="1" x14ac:dyDescent="0.3">
      <c r="A2" s="37"/>
      <c r="B2" s="38"/>
      <c r="C2" s="38"/>
      <c r="D2" s="39"/>
      <c r="E2" s="41">
        <v>2019</v>
      </c>
      <c r="F2" s="40">
        <f>+E2+1</f>
        <v>2020</v>
      </c>
      <c r="G2" s="40">
        <f t="shared" ref="G2:K2" si="0">+F2+1</f>
        <v>2021</v>
      </c>
      <c r="H2" s="40">
        <f t="shared" si="0"/>
        <v>2022</v>
      </c>
      <c r="I2" s="40">
        <f t="shared" si="0"/>
        <v>2023</v>
      </c>
      <c r="J2" s="40">
        <f t="shared" si="0"/>
        <v>2024</v>
      </c>
      <c r="K2" s="40">
        <f t="shared" si="0"/>
        <v>2025</v>
      </c>
    </row>
    <row r="3" spans="1:18" s="45" customFormat="1" ht="11.5" x14ac:dyDescent="0.25">
      <c r="A3" s="42" t="s">
        <v>138</v>
      </c>
      <c r="B3" s="42"/>
      <c r="C3" s="43"/>
      <c r="D3" s="44"/>
      <c r="E3" s="44" t="str">
        <f t="shared" ref="E3:K3" si="1">IFERROR(IF(ABS(E167)&gt;1,"ERROR","OK"),"OK")</f>
        <v>OK</v>
      </c>
      <c r="F3" s="44" t="str">
        <f t="shared" si="1"/>
        <v>OK</v>
      </c>
      <c r="G3" s="44" t="str">
        <f t="shared" si="1"/>
        <v>OK</v>
      </c>
      <c r="H3" s="44" t="str">
        <f t="shared" si="1"/>
        <v>OK</v>
      </c>
      <c r="I3" s="44" t="str">
        <f t="shared" si="1"/>
        <v>OK</v>
      </c>
      <c r="J3" s="44" t="str">
        <f t="shared" si="1"/>
        <v>OK</v>
      </c>
      <c r="K3" s="44" t="str">
        <f t="shared" si="1"/>
        <v>OK</v>
      </c>
      <c r="L3" s="44"/>
      <c r="M3" s="44"/>
      <c r="N3" s="42"/>
      <c r="O3" s="42"/>
      <c r="P3" s="42"/>
    </row>
    <row r="5" spans="1:18" s="14" customFormat="1" ht="19" customHeight="1" x14ac:dyDescent="0.35">
      <c r="A5" s="31" t="s">
        <v>23</v>
      </c>
      <c r="B5" s="32"/>
      <c r="C5" s="32"/>
      <c r="D5" s="33"/>
      <c r="E5" s="34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idden="1" outlineLevel="1" x14ac:dyDescent="0.3"/>
    <row r="7" spans="1:18" s="53" customFormat="1" hidden="1" outlineLevel="1" x14ac:dyDescent="0.3">
      <c r="A7" s="63" t="s">
        <v>1</v>
      </c>
    </row>
    <row r="8" spans="1:18" hidden="1" outlineLevel="1" x14ac:dyDescent="0.3">
      <c r="A8" s="54" t="s">
        <v>4</v>
      </c>
      <c r="B8" s="55"/>
      <c r="C8" s="55"/>
      <c r="D8" s="55"/>
      <c r="E8" s="50">
        <v>0</v>
      </c>
      <c r="F8" s="50">
        <v>5000</v>
      </c>
      <c r="G8" s="50">
        <v>10000</v>
      </c>
      <c r="H8" s="50">
        <v>20000</v>
      </c>
      <c r="I8" s="50">
        <v>30000</v>
      </c>
      <c r="J8" s="50">
        <v>50000</v>
      </c>
      <c r="K8" s="50">
        <v>60000</v>
      </c>
    </row>
    <row r="9" spans="1:18" hidden="1" outlineLevel="1" x14ac:dyDescent="0.3">
      <c r="A9" s="54" t="s">
        <v>0</v>
      </c>
      <c r="B9" s="55"/>
      <c r="C9" s="55"/>
      <c r="D9" s="55"/>
      <c r="E9" s="50">
        <v>10000</v>
      </c>
      <c r="F9" s="50">
        <v>50000</v>
      </c>
      <c r="G9" s="50">
        <v>100000</v>
      </c>
      <c r="H9" s="50">
        <v>130000</v>
      </c>
      <c r="I9" s="50">
        <v>155000</v>
      </c>
      <c r="J9" s="50">
        <v>170000</v>
      </c>
      <c r="K9" s="50">
        <v>180000</v>
      </c>
    </row>
    <row r="10" spans="1:18" hidden="1" outlineLevel="1" x14ac:dyDescent="0.3">
      <c r="A10" s="54" t="s">
        <v>2</v>
      </c>
      <c r="B10" s="55"/>
      <c r="C10" s="55"/>
      <c r="D10" s="55"/>
      <c r="E10" s="50">
        <v>30000</v>
      </c>
      <c r="F10" s="50">
        <v>20000</v>
      </c>
      <c r="G10" s="50">
        <v>10000</v>
      </c>
      <c r="H10" s="50">
        <v>10000</v>
      </c>
      <c r="I10" s="50">
        <v>10000</v>
      </c>
      <c r="J10" s="50">
        <v>10000</v>
      </c>
      <c r="K10" s="50">
        <v>10000</v>
      </c>
    </row>
    <row r="11" spans="1:18" hidden="1" outlineLevel="1" x14ac:dyDescent="0.3">
      <c r="A11" s="56" t="s">
        <v>3</v>
      </c>
      <c r="B11" s="57"/>
      <c r="C11" s="57"/>
      <c r="D11" s="57"/>
      <c r="E11" s="2">
        <v>20000</v>
      </c>
      <c r="F11" s="2">
        <v>10000</v>
      </c>
      <c r="G11" s="2">
        <v>5000</v>
      </c>
      <c r="H11" s="2">
        <v>5000</v>
      </c>
      <c r="I11" s="2">
        <v>5000</v>
      </c>
      <c r="J11" s="2">
        <v>5000</v>
      </c>
      <c r="K11" s="2">
        <v>5000</v>
      </c>
    </row>
    <row r="12" spans="1:18" hidden="1" outlineLevel="1" x14ac:dyDescent="0.3">
      <c r="A12" s="62" t="s">
        <v>5</v>
      </c>
      <c r="B12" s="62"/>
      <c r="C12" s="62"/>
      <c r="D12" s="62"/>
      <c r="E12" s="61">
        <f>SUM(E8:E11)</f>
        <v>60000</v>
      </c>
      <c r="F12" s="61">
        <f t="shared" ref="F12:K12" si="2">SUM(F8:F11)</f>
        <v>85000</v>
      </c>
      <c r="G12" s="61">
        <f t="shared" si="2"/>
        <v>125000</v>
      </c>
      <c r="H12" s="61">
        <f t="shared" si="2"/>
        <v>165000</v>
      </c>
      <c r="I12" s="61">
        <f t="shared" si="2"/>
        <v>200000</v>
      </c>
      <c r="J12" s="61">
        <f t="shared" si="2"/>
        <v>235000</v>
      </c>
      <c r="K12" s="61">
        <f t="shared" si="2"/>
        <v>255000</v>
      </c>
    </row>
    <row r="13" spans="1:18" ht="14.5" hidden="1" outlineLevel="1" thickBot="1" x14ac:dyDescent="0.35">
      <c r="A13" s="59" t="s">
        <v>134</v>
      </c>
      <c r="B13" s="58"/>
      <c r="C13" s="58"/>
      <c r="D13" s="58"/>
      <c r="E13" s="58"/>
      <c r="F13" s="60">
        <f>F12/E12-1</f>
        <v>0.41666666666666674</v>
      </c>
      <c r="G13" s="60">
        <f t="shared" ref="G13:K13" si="3">G12/F12-1</f>
        <v>0.47058823529411775</v>
      </c>
      <c r="H13" s="60">
        <f t="shared" si="3"/>
        <v>0.32000000000000006</v>
      </c>
      <c r="I13" s="60">
        <f t="shared" si="3"/>
        <v>0.21212121212121215</v>
      </c>
      <c r="J13" s="60">
        <f t="shared" si="3"/>
        <v>0.17500000000000004</v>
      </c>
      <c r="K13" s="60">
        <f t="shared" si="3"/>
        <v>8.5106382978723305E-2</v>
      </c>
    </row>
    <row r="14" spans="1:18" ht="14.5" hidden="1" outlineLevel="1" thickTop="1" x14ac:dyDescent="0.3"/>
    <row r="15" spans="1:18" hidden="1" outlineLevel="1" x14ac:dyDescent="0.3">
      <c r="A15" s="64" t="s">
        <v>6</v>
      </c>
      <c r="D15" s="65">
        <v>12</v>
      </c>
    </row>
    <row r="16" spans="1:18" hidden="1" outlineLevel="1" x14ac:dyDescent="0.3">
      <c r="A16" s="54" t="s">
        <v>4</v>
      </c>
      <c r="B16" s="55"/>
      <c r="C16" s="55"/>
      <c r="D16" s="55"/>
      <c r="E16" s="49">
        <f t="shared" ref="E16:K19" si="4">$D$15*E8</f>
        <v>0</v>
      </c>
      <c r="F16" s="49">
        <f t="shared" si="4"/>
        <v>60000</v>
      </c>
      <c r="G16" s="49">
        <f t="shared" si="4"/>
        <v>120000</v>
      </c>
      <c r="H16" s="49">
        <f t="shared" si="4"/>
        <v>240000</v>
      </c>
      <c r="I16" s="49">
        <f t="shared" si="4"/>
        <v>360000</v>
      </c>
      <c r="J16" s="49">
        <f t="shared" si="4"/>
        <v>600000</v>
      </c>
      <c r="K16" s="49">
        <f t="shared" si="4"/>
        <v>720000</v>
      </c>
    </row>
    <row r="17" spans="1:11" hidden="1" outlineLevel="1" x14ac:dyDescent="0.3">
      <c r="A17" s="54" t="s">
        <v>0</v>
      </c>
      <c r="B17" s="55"/>
      <c r="C17" s="55"/>
      <c r="D17" s="55"/>
      <c r="E17" s="49">
        <f t="shared" si="4"/>
        <v>120000</v>
      </c>
      <c r="F17" s="49">
        <f t="shared" si="4"/>
        <v>600000</v>
      </c>
      <c r="G17" s="49">
        <f t="shared" si="4"/>
        <v>1200000</v>
      </c>
      <c r="H17" s="49">
        <f t="shared" si="4"/>
        <v>1560000</v>
      </c>
      <c r="I17" s="49">
        <f t="shared" si="4"/>
        <v>1860000</v>
      </c>
      <c r="J17" s="49">
        <f t="shared" si="4"/>
        <v>2040000</v>
      </c>
      <c r="K17" s="49">
        <f t="shared" si="4"/>
        <v>2160000</v>
      </c>
    </row>
    <row r="18" spans="1:11" hidden="1" outlineLevel="1" x14ac:dyDescent="0.3">
      <c r="A18" s="54" t="s">
        <v>2</v>
      </c>
      <c r="B18" s="55"/>
      <c r="C18" s="55"/>
      <c r="D18" s="55"/>
      <c r="E18" s="49">
        <f t="shared" si="4"/>
        <v>360000</v>
      </c>
      <c r="F18" s="49">
        <f t="shared" si="4"/>
        <v>240000</v>
      </c>
      <c r="G18" s="49">
        <f t="shared" si="4"/>
        <v>120000</v>
      </c>
      <c r="H18" s="49">
        <f t="shared" si="4"/>
        <v>120000</v>
      </c>
      <c r="I18" s="49">
        <f t="shared" si="4"/>
        <v>120000</v>
      </c>
      <c r="J18" s="49">
        <f t="shared" si="4"/>
        <v>120000</v>
      </c>
      <c r="K18" s="49">
        <f t="shared" si="4"/>
        <v>120000</v>
      </c>
    </row>
    <row r="19" spans="1:11" hidden="1" outlineLevel="1" x14ac:dyDescent="0.3">
      <c r="A19" s="54" t="s">
        <v>3</v>
      </c>
      <c r="B19" s="55"/>
      <c r="C19" s="55"/>
      <c r="D19" s="55"/>
      <c r="E19" s="49">
        <f t="shared" si="4"/>
        <v>240000</v>
      </c>
      <c r="F19" s="49">
        <f t="shared" si="4"/>
        <v>120000</v>
      </c>
      <c r="G19" s="49">
        <f t="shared" si="4"/>
        <v>60000</v>
      </c>
      <c r="H19" s="49">
        <f t="shared" si="4"/>
        <v>60000</v>
      </c>
      <c r="I19" s="49">
        <f t="shared" si="4"/>
        <v>60000</v>
      </c>
      <c r="J19" s="49">
        <f t="shared" si="4"/>
        <v>60000</v>
      </c>
      <c r="K19" s="49">
        <f t="shared" si="4"/>
        <v>60000</v>
      </c>
    </row>
    <row r="20" spans="1:11" ht="14.5" hidden="1" outlineLevel="1" thickBot="1" x14ac:dyDescent="0.35">
      <c r="A20" s="67" t="s">
        <v>8</v>
      </c>
      <c r="B20" s="68"/>
      <c r="C20" s="68"/>
      <c r="D20" s="68"/>
      <c r="E20" s="66">
        <f>SUM(E16:E19)</f>
        <v>720000</v>
      </c>
      <c r="F20" s="66">
        <f t="shared" ref="F20:K20" si="5">SUM(F16:F19)</f>
        <v>1020000</v>
      </c>
      <c r="G20" s="66">
        <f t="shared" si="5"/>
        <v>1500000</v>
      </c>
      <c r="H20" s="66">
        <f t="shared" si="5"/>
        <v>1980000</v>
      </c>
      <c r="I20" s="66">
        <f t="shared" si="5"/>
        <v>2400000</v>
      </c>
      <c r="J20" s="66">
        <f t="shared" si="5"/>
        <v>2820000</v>
      </c>
      <c r="K20" s="66">
        <f t="shared" si="5"/>
        <v>3060000</v>
      </c>
    </row>
    <row r="21" spans="1:11" ht="14.5" hidden="1" outlineLevel="1" thickTop="1" x14ac:dyDescent="0.3"/>
    <row r="22" spans="1:11" s="53" customFormat="1" hidden="1" outlineLevel="1" x14ac:dyDescent="0.3">
      <c r="A22" s="63" t="s">
        <v>7</v>
      </c>
    </row>
    <row r="23" spans="1:11" hidden="1" outlineLevel="1" x14ac:dyDescent="0.3">
      <c r="A23" s="54" t="s">
        <v>4</v>
      </c>
      <c r="B23" s="55"/>
      <c r="C23" s="55"/>
      <c r="D23" s="55"/>
      <c r="E23" s="69">
        <v>0.06</v>
      </c>
      <c r="F23" s="69">
        <v>0.06</v>
      </c>
      <c r="G23" s="69">
        <v>0.06</v>
      </c>
      <c r="H23" s="69">
        <v>0.06</v>
      </c>
      <c r="I23" s="69">
        <v>0.06</v>
      </c>
      <c r="J23" s="69">
        <v>0.06</v>
      </c>
      <c r="K23" s="69">
        <v>0.06</v>
      </c>
    </row>
    <row r="24" spans="1:11" hidden="1" outlineLevel="1" x14ac:dyDescent="0.3">
      <c r="A24" s="54" t="s">
        <v>0</v>
      </c>
      <c r="B24" s="55"/>
      <c r="C24" s="55"/>
      <c r="D24" s="55"/>
      <c r="E24" s="69">
        <v>0.02</v>
      </c>
      <c r="F24" s="69">
        <v>0.02</v>
      </c>
      <c r="G24" s="69">
        <v>0.02</v>
      </c>
      <c r="H24" s="69">
        <v>0.02</v>
      </c>
      <c r="I24" s="69">
        <v>0.02</v>
      </c>
      <c r="J24" s="69">
        <v>0.02</v>
      </c>
      <c r="K24" s="69">
        <v>0.02</v>
      </c>
    </row>
    <row r="25" spans="1:11" hidden="1" outlineLevel="1" x14ac:dyDescent="0.3">
      <c r="A25" s="54" t="s">
        <v>2</v>
      </c>
      <c r="B25" s="55"/>
      <c r="C25" s="55"/>
      <c r="D25" s="55"/>
      <c r="E25" s="69">
        <v>2.1999999999999999E-2</v>
      </c>
      <c r="F25" s="69">
        <v>2.1999999999999999E-2</v>
      </c>
      <c r="G25" s="69">
        <v>2.1999999999999999E-2</v>
      </c>
      <c r="H25" s="69">
        <v>2.1999999999999999E-2</v>
      </c>
      <c r="I25" s="69">
        <v>2.1999999999999999E-2</v>
      </c>
      <c r="J25" s="69">
        <v>2.1999999999999999E-2</v>
      </c>
      <c r="K25" s="69">
        <v>2.1999999999999999E-2</v>
      </c>
    </row>
    <row r="26" spans="1:11" hidden="1" outlineLevel="1" x14ac:dyDescent="0.3">
      <c r="A26" s="54" t="s">
        <v>3</v>
      </c>
      <c r="B26" s="55"/>
      <c r="C26" s="55"/>
      <c r="D26" s="55"/>
      <c r="E26" s="69">
        <v>0.04</v>
      </c>
      <c r="F26" s="69">
        <v>0.04</v>
      </c>
      <c r="G26" s="69">
        <v>0.04</v>
      </c>
      <c r="H26" s="69">
        <v>0.04</v>
      </c>
      <c r="I26" s="69">
        <v>0.04</v>
      </c>
      <c r="J26" s="69">
        <v>0.04</v>
      </c>
      <c r="K26" s="69">
        <v>0.04</v>
      </c>
    </row>
    <row r="27" spans="1:11" ht="14.5" hidden="1" outlineLevel="1" thickBot="1" x14ac:dyDescent="0.35">
      <c r="A27" s="67" t="s">
        <v>5</v>
      </c>
      <c r="B27" s="68"/>
      <c r="C27" s="68"/>
      <c r="D27" s="68"/>
      <c r="E27" s="70">
        <f t="shared" ref="E27:K27" si="6">E34/E20</f>
        <v>2.7666666666666666E-2</v>
      </c>
      <c r="F27" s="70">
        <f t="shared" si="6"/>
        <v>2.5176470588235293E-2</v>
      </c>
      <c r="G27" s="70">
        <f t="shared" si="6"/>
        <v>2.4160000000000001E-2</v>
      </c>
      <c r="H27" s="70">
        <f t="shared" si="6"/>
        <v>2.5575757575757575E-2</v>
      </c>
      <c r="I27" s="70">
        <f t="shared" si="6"/>
        <v>2.6599999999999999E-2</v>
      </c>
      <c r="J27" s="70">
        <f t="shared" si="6"/>
        <v>2.9021276595744681E-2</v>
      </c>
      <c r="K27" s="70">
        <f t="shared" si="6"/>
        <v>2.9882352941176471E-2</v>
      </c>
    </row>
    <row r="28" spans="1:11" ht="14.5" hidden="1" outlineLevel="1" thickTop="1" x14ac:dyDescent="0.3"/>
    <row r="29" spans="1:11" s="53" customFormat="1" hidden="1" outlineLevel="1" x14ac:dyDescent="0.3">
      <c r="A29" s="63" t="s">
        <v>9</v>
      </c>
    </row>
    <row r="30" spans="1:11" hidden="1" outlineLevel="1" x14ac:dyDescent="0.3">
      <c r="A30" s="54" t="s">
        <v>4</v>
      </c>
      <c r="B30" s="55"/>
      <c r="C30" s="55"/>
      <c r="D30" s="55"/>
      <c r="E30" s="49">
        <f t="shared" ref="E30:K33" si="7">E23*E16</f>
        <v>0</v>
      </c>
      <c r="F30" s="49">
        <f t="shared" si="7"/>
        <v>3600</v>
      </c>
      <c r="G30" s="49">
        <f t="shared" si="7"/>
        <v>7200</v>
      </c>
      <c r="H30" s="49">
        <f t="shared" si="7"/>
        <v>14400</v>
      </c>
      <c r="I30" s="49">
        <f t="shared" si="7"/>
        <v>21600</v>
      </c>
      <c r="J30" s="49">
        <f t="shared" si="7"/>
        <v>36000</v>
      </c>
      <c r="K30" s="49">
        <f t="shared" si="7"/>
        <v>43200</v>
      </c>
    </row>
    <row r="31" spans="1:11" hidden="1" outlineLevel="1" x14ac:dyDescent="0.3">
      <c r="A31" s="54" t="s">
        <v>0</v>
      </c>
      <c r="B31" s="55"/>
      <c r="C31" s="55"/>
      <c r="D31" s="55"/>
      <c r="E31" s="49">
        <f t="shared" si="7"/>
        <v>2400</v>
      </c>
      <c r="F31" s="49">
        <f t="shared" si="7"/>
        <v>12000</v>
      </c>
      <c r="G31" s="49">
        <f t="shared" si="7"/>
        <v>24000</v>
      </c>
      <c r="H31" s="49">
        <f t="shared" si="7"/>
        <v>31200</v>
      </c>
      <c r="I31" s="49">
        <f t="shared" si="7"/>
        <v>37200</v>
      </c>
      <c r="J31" s="49">
        <f t="shared" si="7"/>
        <v>40800</v>
      </c>
      <c r="K31" s="49">
        <f t="shared" si="7"/>
        <v>43200</v>
      </c>
    </row>
    <row r="32" spans="1:11" hidden="1" outlineLevel="1" x14ac:dyDescent="0.3">
      <c r="A32" s="54" t="s">
        <v>2</v>
      </c>
      <c r="B32" s="55"/>
      <c r="C32" s="55"/>
      <c r="D32" s="55"/>
      <c r="E32" s="49">
        <f t="shared" si="7"/>
        <v>7919.9999999999991</v>
      </c>
      <c r="F32" s="49">
        <f t="shared" si="7"/>
        <v>5280</v>
      </c>
      <c r="G32" s="49">
        <f t="shared" si="7"/>
        <v>2640</v>
      </c>
      <c r="H32" s="49">
        <f t="shared" si="7"/>
        <v>2640</v>
      </c>
      <c r="I32" s="49">
        <f t="shared" si="7"/>
        <v>2640</v>
      </c>
      <c r="J32" s="49">
        <f t="shared" si="7"/>
        <v>2640</v>
      </c>
      <c r="K32" s="49">
        <f t="shared" si="7"/>
        <v>2640</v>
      </c>
    </row>
    <row r="33" spans="1:11" hidden="1" outlineLevel="1" x14ac:dyDescent="0.3">
      <c r="A33" s="54" t="s">
        <v>3</v>
      </c>
      <c r="B33" s="55"/>
      <c r="C33" s="55"/>
      <c r="D33" s="55"/>
      <c r="E33" s="49">
        <f t="shared" si="7"/>
        <v>9600</v>
      </c>
      <c r="F33" s="49">
        <f t="shared" si="7"/>
        <v>4800</v>
      </c>
      <c r="G33" s="49">
        <f t="shared" si="7"/>
        <v>2400</v>
      </c>
      <c r="H33" s="49">
        <f t="shared" si="7"/>
        <v>2400</v>
      </c>
      <c r="I33" s="49">
        <f t="shared" si="7"/>
        <v>2400</v>
      </c>
      <c r="J33" s="49">
        <f t="shared" si="7"/>
        <v>2400</v>
      </c>
      <c r="K33" s="49">
        <f t="shared" si="7"/>
        <v>2400</v>
      </c>
    </row>
    <row r="34" spans="1:11" ht="14.5" hidden="1" outlineLevel="1" thickBot="1" x14ac:dyDescent="0.35">
      <c r="A34" s="67" t="s">
        <v>10</v>
      </c>
      <c r="B34" s="67"/>
      <c r="C34" s="67"/>
      <c r="D34" s="67"/>
      <c r="E34" s="66">
        <f>SUM(E30:E33)</f>
        <v>19920</v>
      </c>
      <c r="F34" s="66">
        <f t="shared" ref="F34:K34" si="8">SUM(F30:F33)</f>
        <v>25680</v>
      </c>
      <c r="G34" s="66">
        <f t="shared" si="8"/>
        <v>36240</v>
      </c>
      <c r="H34" s="66">
        <f t="shared" si="8"/>
        <v>50640</v>
      </c>
      <c r="I34" s="66">
        <f t="shared" si="8"/>
        <v>63840</v>
      </c>
      <c r="J34" s="66">
        <f t="shared" si="8"/>
        <v>81840</v>
      </c>
      <c r="K34" s="66">
        <f t="shared" si="8"/>
        <v>91440</v>
      </c>
    </row>
    <row r="35" spans="1:11" ht="14.5" hidden="1" outlineLevel="1" thickTop="1" x14ac:dyDescent="0.3"/>
    <row r="36" spans="1:11" s="53" customFormat="1" hidden="1" outlineLevel="1" x14ac:dyDescent="0.3">
      <c r="A36" s="63" t="s">
        <v>11</v>
      </c>
    </row>
    <row r="37" spans="1:11" hidden="1" outlineLevel="1" x14ac:dyDescent="0.3">
      <c r="A37" s="54" t="s">
        <v>24</v>
      </c>
      <c r="B37" s="55"/>
      <c r="C37" s="55"/>
      <c r="D37" s="55"/>
      <c r="E37" s="50">
        <v>250</v>
      </c>
      <c r="F37" s="50">
        <v>250</v>
      </c>
      <c r="G37" s="50">
        <v>250</v>
      </c>
      <c r="H37" s="50">
        <v>250</v>
      </c>
      <c r="I37" s="50">
        <v>250</v>
      </c>
      <c r="J37" s="50">
        <v>250</v>
      </c>
      <c r="K37" s="50">
        <v>250</v>
      </c>
    </row>
    <row r="38" spans="1:11" hidden="1" outlineLevel="1" x14ac:dyDescent="0.3">
      <c r="A38" s="54" t="s">
        <v>12</v>
      </c>
      <c r="B38" s="55"/>
      <c r="C38" s="55"/>
      <c r="D38" s="55"/>
      <c r="E38" s="51">
        <v>1.1000000000000001</v>
      </c>
      <c r="F38" s="51">
        <v>1.2</v>
      </c>
      <c r="G38" s="51">
        <v>1.3</v>
      </c>
      <c r="H38" s="51">
        <v>1.4</v>
      </c>
      <c r="I38" s="51">
        <v>1.5</v>
      </c>
      <c r="J38" s="51">
        <v>1.6</v>
      </c>
      <c r="K38" s="51">
        <v>1.7</v>
      </c>
    </row>
    <row r="39" spans="1:11" hidden="1" outlineLevel="1" x14ac:dyDescent="0.3">
      <c r="A39" s="54" t="s">
        <v>13</v>
      </c>
      <c r="B39" s="55"/>
      <c r="C39" s="55"/>
      <c r="D39" s="55"/>
      <c r="E39" s="52">
        <v>0.1</v>
      </c>
      <c r="F39" s="52">
        <v>0.1</v>
      </c>
      <c r="G39" s="52">
        <v>0.1</v>
      </c>
      <c r="H39" s="52">
        <v>0.1</v>
      </c>
      <c r="I39" s="52">
        <v>0.1</v>
      </c>
      <c r="J39" s="52">
        <v>0.1</v>
      </c>
      <c r="K39" s="52">
        <v>0.1</v>
      </c>
    </row>
    <row r="40" spans="1:11" hidden="1" outlineLevel="1" x14ac:dyDescent="0.3">
      <c r="A40" s="54" t="s">
        <v>14</v>
      </c>
      <c r="B40" s="55"/>
      <c r="C40" s="55"/>
      <c r="D40" s="55"/>
      <c r="E40" s="52">
        <v>0.2</v>
      </c>
      <c r="F40" s="52">
        <v>0.18</v>
      </c>
      <c r="G40" s="52">
        <v>0.15</v>
      </c>
      <c r="H40" s="52">
        <v>0.12</v>
      </c>
      <c r="I40" s="52">
        <v>0.1</v>
      </c>
      <c r="J40" s="52">
        <v>0.08</v>
      </c>
      <c r="K40" s="52">
        <v>0.08</v>
      </c>
    </row>
    <row r="41" spans="1:11" s="4" customFormat="1" ht="14.5" hidden="1" outlineLevel="1" thickBot="1" x14ac:dyDescent="0.35">
      <c r="A41" s="71" t="s">
        <v>166</v>
      </c>
      <c r="B41" s="67"/>
      <c r="C41" s="67"/>
      <c r="D41" s="67"/>
      <c r="E41" s="72">
        <v>0.5</v>
      </c>
      <c r="F41" s="72">
        <v>0.5</v>
      </c>
      <c r="G41" s="72">
        <v>0.5</v>
      </c>
      <c r="H41" s="72">
        <v>0.5</v>
      </c>
      <c r="I41" s="72">
        <v>0.5</v>
      </c>
      <c r="J41" s="72">
        <v>0.5</v>
      </c>
      <c r="K41" s="72">
        <v>0.5</v>
      </c>
    </row>
    <row r="42" spans="1:11" ht="14.5" hidden="1" outlineLevel="1" thickTop="1" x14ac:dyDescent="0.3">
      <c r="E42" s="6"/>
      <c r="F42" s="6"/>
      <c r="G42" s="6"/>
      <c r="H42" s="6"/>
      <c r="I42" s="6"/>
      <c r="J42" s="6"/>
      <c r="K42" s="6"/>
    </row>
    <row r="43" spans="1:11" hidden="1" outlineLevel="1" x14ac:dyDescent="0.3">
      <c r="A43" s="55" t="s">
        <v>32</v>
      </c>
      <c r="B43" s="55"/>
      <c r="C43" s="55"/>
      <c r="D43" s="55"/>
      <c r="E43" s="49">
        <f t="shared" ref="E43:K43" si="9">+E37*E38</f>
        <v>275</v>
      </c>
      <c r="F43" s="49">
        <f t="shared" si="9"/>
        <v>300</v>
      </c>
      <c r="G43" s="49">
        <f t="shared" si="9"/>
        <v>325</v>
      </c>
      <c r="H43" s="49">
        <f t="shared" si="9"/>
        <v>350</v>
      </c>
      <c r="I43" s="49">
        <f t="shared" si="9"/>
        <v>375</v>
      </c>
      <c r="J43" s="49">
        <f t="shared" si="9"/>
        <v>400</v>
      </c>
      <c r="K43" s="49">
        <f t="shared" si="9"/>
        <v>425</v>
      </c>
    </row>
    <row r="44" spans="1:11" hidden="1" outlineLevel="1" x14ac:dyDescent="0.3">
      <c r="A44" s="73" t="s">
        <v>33</v>
      </c>
      <c r="B44" s="73"/>
      <c r="C44" s="73"/>
      <c r="D44" s="73"/>
      <c r="E44" s="47">
        <f>E43*(1-E39-E40)</f>
        <v>192.5</v>
      </c>
      <c r="F44" s="47">
        <f>F43*(1-F39-F40)</f>
        <v>216</v>
      </c>
      <c r="G44" s="47">
        <f>G43*(1-G39-G40)</f>
        <v>243.75</v>
      </c>
      <c r="H44" s="47">
        <f>H43*(1-H39-H40)</f>
        <v>273</v>
      </c>
      <c r="I44" s="47">
        <f>I43*(1-I39-I40)</f>
        <v>300</v>
      </c>
      <c r="J44" s="47">
        <f t="shared" ref="J44:K44" si="10">J43*(1-J39-J40)</f>
        <v>328</v>
      </c>
      <c r="K44" s="47">
        <f t="shared" si="10"/>
        <v>348.5</v>
      </c>
    </row>
    <row r="45" spans="1:11" hidden="1" outlineLevel="1" x14ac:dyDescent="0.3"/>
    <row r="46" spans="1:11" s="53" customFormat="1" hidden="1" outlineLevel="1" x14ac:dyDescent="0.3">
      <c r="A46" s="63" t="s">
        <v>104</v>
      </c>
    </row>
    <row r="47" spans="1:11" hidden="1" outlineLevel="1" x14ac:dyDescent="0.3">
      <c r="A47" s="54" t="s">
        <v>106</v>
      </c>
      <c r="B47" s="55"/>
      <c r="C47" s="55"/>
      <c r="D47" s="55"/>
      <c r="E47" s="52">
        <v>0.25</v>
      </c>
      <c r="F47" s="52">
        <v>0.25</v>
      </c>
      <c r="G47" s="52">
        <v>0.25</v>
      </c>
      <c r="H47" s="52">
        <v>0.25</v>
      </c>
      <c r="I47" s="52">
        <v>0.25</v>
      </c>
      <c r="J47" s="52">
        <v>0.25</v>
      </c>
      <c r="K47" s="52">
        <v>0.25</v>
      </c>
    </row>
    <row r="48" spans="1:11" hidden="1" outlineLevel="1" x14ac:dyDescent="0.3">
      <c r="A48" s="54" t="s">
        <v>105</v>
      </c>
      <c r="B48" s="55"/>
      <c r="C48" s="55"/>
      <c r="D48" s="55"/>
      <c r="E48" s="50">
        <v>0</v>
      </c>
      <c r="F48" s="49">
        <f>+E52</f>
        <v>14940</v>
      </c>
      <c r="G48" s="49">
        <f t="shared" ref="G48:K48" si="11">+F52</f>
        <v>27765</v>
      </c>
      <c r="H48" s="49">
        <f t="shared" si="11"/>
        <v>42603.75</v>
      </c>
      <c r="I48" s="49">
        <f t="shared" si="11"/>
        <v>59132.8125</v>
      </c>
      <c r="J48" s="49">
        <f t="shared" si="11"/>
        <v>76029.609375</v>
      </c>
      <c r="K48" s="49">
        <f t="shared" si="11"/>
        <v>91402.20703125</v>
      </c>
    </row>
    <row r="49" spans="1:11" hidden="1" outlineLevel="1" x14ac:dyDescent="0.3">
      <c r="A49" s="54" t="s">
        <v>131</v>
      </c>
      <c r="B49" s="55"/>
      <c r="C49" s="55"/>
      <c r="D49" s="55"/>
      <c r="E49" s="49">
        <f>E31+E32+E33</f>
        <v>19920</v>
      </c>
      <c r="F49" s="49">
        <f>F31+F32+F33</f>
        <v>22080</v>
      </c>
      <c r="G49" s="49">
        <f t="shared" ref="G49:K49" si="12">G31+G32+G33</f>
        <v>29040</v>
      </c>
      <c r="H49" s="49">
        <f t="shared" si="12"/>
        <v>36240</v>
      </c>
      <c r="I49" s="49">
        <f t="shared" si="12"/>
        <v>42240</v>
      </c>
      <c r="J49" s="49">
        <f t="shared" si="12"/>
        <v>45840</v>
      </c>
      <c r="K49" s="49">
        <f t="shared" si="12"/>
        <v>48240</v>
      </c>
    </row>
    <row r="50" spans="1:11" s="4" customFormat="1" hidden="1" outlineLevel="1" x14ac:dyDescent="0.3">
      <c r="A50" s="62" t="s">
        <v>101</v>
      </c>
      <c r="B50" s="62"/>
      <c r="C50" s="62"/>
      <c r="D50" s="62"/>
      <c r="E50" s="61">
        <f>SUM(E48:E49)</f>
        <v>19920</v>
      </c>
      <c r="F50" s="61">
        <f>SUM(F48:F49)</f>
        <v>37020</v>
      </c>
      <c r="G50" s="61">
        <f t="shared" ref="G50:K50" si="13">SUM(G48:G49)</f>
        <v>56805</v>
      </c>
      <c r="H50" s="61">
        <f t="shared" si="13"/>
        <v>78843.75</v>
      </c>
      <c r="I50" s="61">
        <f t="shared" si="13"/>
        <v>101372.8125</v>
      </c>
      <c r="J50" s="61">
        <f t="shared" si="13"/>
        <v>121869.609375</v>
      </c>
      <c r="K50" s="61">
        <f t="shared" si="13"/>
        <v>139642.20703125</v>
      </c>
    </row>
    <row r="51" spans="1:11" hidden="1" outlineLevel="1" x14ac:dyDescent="0.3">
      <c r="A51" s="54" t="s">
        <v>107</v>
      </c>
      <c r="B51" s="55"/>
      <c r="C51" s="55"/>
      <c r="D51" s="55"/>
      <c r="E51" s="75">
        <f>+E50*E47</f>
        <v>4980</v>
      </c>
      <c r="F51" s="75">
        <f>+F50*F47</f>
        <v>9255</v>
      </c>
      <c r="G51" s="75">
        <f t="shared" ref="G51:K51" si="14">+G50*G47</f>
        <v>14201.25</v>
      </c>
      <c r="H51" s="75">
        <f t="shared" si="14"/>
        <v>19710.9375</v>
      </c>
      <c r="I51" s="75">
        <f t="shared" si="14"/>
        <v>25343.203125</v>
      </c>
      <c r="J51" s="75">
        <f t="shared" si="14"/>
        <v>30467.40234375</v>
      </c>
      <c r="K51" s="75">
        <f t="shared" si="14"/>
        <v>34910.5517578125</v>
      </c>
    </row>
    <row r="52" spans="1:11" ht="14.5" hidden="1" outlineLevel="1" thickBot="1" x14ac:dyDescent="0.35">
      <c r="A52" s="74" t="s">
        <v>108</v>
      </c>
      <c r="B52" s="74"/>
      <c r="C52" s="74"/>
      <c r="D52" s="74"/>
      <c r="E52" s="76">
        <f>+E50-E51</f>
        <v>14940</v>
      </c>
      <c r="F52" s="76">
        <f>+F50-F51</f>
        <v>27765</v>
      </c>
      <c r="G52" s="76">
        <f t="shared" ref="G52:K52" si="15">+G50-G51</f>
        <v>42603.75</v>
      </c>
      <c r="H52" s="76">
        <f t="shared" si="15"/>
        <v>59132.8125</v>
      </c>
      <c r="I52" s="76">
        <f t="shared" si="15"/>
        <v>76029.609375</v>
      </c>
      <c r="J52" s="76">
        <f t="shared" si="15"/>
        <v>91402.20703125</v>
      </c>
      <c r="K52" s="76">
        <f t="shared" si="15"/>
        <v>104731.6552734375</v>
      </c>
    </row>
    <row r="53" spans="1:11" ht="14.5" hidden="1" outlineLevel="1" thickTop="1" x14ac:dyDescent="0.3"/>
    <row r="54" spans="1:11" s="53" customFormat="1" hidden="1" outlineLevel="1" x14ac:dyDescent="0.3">
      <c r="A54" s="63" t="s">
        <v>15</v>
      </c>
    </row>
    <row r="55" spans="1:11" hidden="1" outlineLevel="1" x14ac:dyDescent="0.3">
      <c r="A55" s="81" t="s">
        <v>18</v>
      </c>
    </row>
    <row r="56" spans="1:11" hidden="1" outlineLevel="1" x14ac:dyDescent="0.3">
      <c r="A56" s="82" t="s">
        <v>31</v>
      </c>
      <c r="B56" s="55"/>
      <c r="C56" s="55"/>
      <c r="D56" s="55"/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</row>
    <row r="57" spans="1:11" hidden="1" outlineLevel="1" x14ac:dyDescent="0.3">
      <c r="A57" s="82" t="s">
        <v>30</v>
      </c>
      <c r="B57" s="55"/>
      <c r="C57" s="55"/>
      <c r="D57" s="55"/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</row>
    <row r="58" spans="1:11" hidden="1" outlineLevel="1" x14ac:dyDescent="0.3">
      <c r="A58" s="82" t="s">
        <v>16</v>
      </c>
      <c r="B58" s="55"/>
      <c r="C58" s="55"/>
      <c r="D58" s="55"/>
      <c r="E58" s="78">
        <v>3</v>
      </c>
      <c r="F58" s="78">
        <v>3.25</v>
      </c>
      <c r="G58" s="78">
        <v>3.25</v>
      </c>
      <c r="H58" s="78">
        <v>3.5</v>
      </c>
      <c r="I58" s="78">
        <v>3.5</v>
      </c>
      <c r="J58" s="78">
        <v>3.75</v>
      </c>
      <c r="K58" s="78">
        <v>4</v>
      </c>
    </row>
    <row r="59" spans="1:11" hidden="1" outlineLevel="1" x14ac:dyDescent="0.3">
      <c r="A59" s="82" t="s">
        <v>17</v>
      </c>
      <c r="B59" s="55"/>
      <c r="C59" s="55"/>
      <c r="D59" s="55"/>
      <c r="E59" s="78">
        <v>5</v>
      </c>
      <c r="F59" s="78">
        <v>5</v>
      </c>
      <c r="G59" s="78">
        <v>5</v>
      </c>
      <c r="H59" s="78">
        <v>5</v>
      </c>
      <c r="I59" s="78">
        <v>5</v>
      </c>
      <c r="J59" s="78">
        <v>5</v>
      </c>
      <c r="K59" s="78">
        <v>5</v>
      </c>
    </row>
    <row r="60" spans="1:11" ht="14.5" hidden="1" outlineLevel="1" thickBot="1" x14ac:dyDescent="0.35">
      <c r="A60" s="84" t="s">
        <v>60</v>
      </c>
      <c r="B60" s="68"/>
      <c r="C60" s="68"/>
      <c r="D60" s="68"/>
      <c r="E60" s="79">
        <f>SUMPRODUCT(E56:E59,E16:E19)/E20</f>
        <v>3.1666666666666665</v>
      </c>
      <c r="F60" s="79">
        <f t="shared" ref="F60:K60" si="16">SUMPRODUCT(F56:F59,F16:F19)/F20</f>
        <v>1.3529411764705883</v>
      </c>
      <c r="G60" s="79">
        <f t="shared" si="16"/>
        <v>0.46</v>
      </c>
      <c r="H60" s="79">
        <f t="shared" si="16"/>
        <v>0.36363636363636365</v>
      </c>
      <c r="I60" s="79">
        <f t="shared" si="16"/>
        <v>0.3</v>
      </c>
      <c r="J60" s="79">
        <f t="shared" si="16"/>
        <v>0.26595744680851063</v>
      </c>
      <c r="K60" s="79">
        <f t="shared" si="16"/>
        <v>0.25490196078431371</v>
      </c>
    </row>
    <row r="61" spans="1:11" ht="14.5" hidden="1" outlineLevel="1" thickTop="1" x14ac:dyDescent="0.3"/>
    <row r="62" spans="1:11" s="53" customFormat="1" hidden="1" outlineLevel="1" x14ac:dyDescent="0.3">
      <c r="A62" s="63" t="s">
        <v>19</v>
      </c>
    </row>
    <row r="63" spans="1:11" hidden="1" outlineLevel="1" x14ac:dyDescent="0.3">
      <c r="A63" s="81" t="s">
        <v>18</v>
      </c>
    </row>
    <row r="64" spans="1:11" hidden="1" outlineLevel="1" x14ac:dyDescent="0.3">
      <c r="A64" s="82" t="s">
        <v>20</v>
      </c>
      <c r="B64" s="55"/>
      <c r="C64" s="55"/>
      <c r="D64" s="55"/>
      <c r="E64" s="78">
        <v>12</v>
      </c>
      <c r="F64" s="78">
        <v>10</v>
      </c>
      <c r="G64" s="78">
        <v>9</v>
      </c>
      <c r="H64" s="78">
        <v>9</v>
      </c>
      <c r="I64" s="78">
        <v>8</v>
      </c>
      <c r="J64" s="78">
        <v>8</v>
      </c>
      <c r="K64" s="78">
        <v>7</v>
      </c>
    </row>
    <row r="65" spans="1:11" hidden="1" outlineLevel="1" x14ac:dyDescent="0.3">
      <c r="A65" s="83" t="s">
        <v>93</v>
      </c>
      <c r="B65" s="73"/>
      <c r="C65" s="73"/>
      <c r="D65" s="73"/>
      <c r="E65" s="77">
        <v>5</v>
      </c>
      <c r="F65" s="77">
        <v>5</v>
      </c>
      <c r="G65" s="77">
        <v>5</v>
      </c>
      <c r="H65" s="77">
        <v>5</v>
      </c>
      <c r="I65" s="77">
        <v>5</v>
      </c>
      <c r="J65" s="77">
        <v>5</v>
      </c>
      <c r="K65" s="77">
        <v>5</v>
      </c>
    </row>
    <row r="66" spans="1:11" ht="14.5" hidden="1" outlineLevel="1" thickBot="1" x14ac:dyDescent="0.35">
      <c r="A66" s="67" t="s">
        <v>61</v>
      </c>
      <c r="B66" s="67"/>
      <c r="C66" s="67"/>
      <c r="D66" s="67"/>
      <c r="E66" s="79">
        <f>SUM(E64:E65)</f>
        <v>17</v>
      </c>
      <c r="F66" s="79">
        <f t="shared" ref="F66:K66" si="17">SUM(F64:F65)</f>
        <v>15</v>
      </c>
      <c r="G66" s="79">
        <f t="shared" si="17"/>
        <v>14</v>
      </c>
      <c r="H66" s="79">
        <f t="shared" si="17"/>
        <v>14</v>
      </c>
      <c r="I66" s="79">
        <f t="shared" si="17"/>
        <v>13</v>
      </c>
      <c r="J66" s="79">
        <f t="shared" si="17"/>
        <v>13</v>
      </c>
      <c r="K66" s="79">
        <f t="shared" si="17"/>
        <v>12</v>
      </c>
    </row>
    <row r="67" spans="1:11" ht="14.5" hidden="1" outlineLevel="1" thickTop="1" x14ac:dyDescent="0.3">
      <c r="A67" s="4"/>
      <c r="B67" s="4"/>
      <c r="C67" s="4"/>
      <c r="D67" s="4"/>
      <c r="E67" s="7"/>
      <c r="F67" s="7"/>
      <c r="G67" s="7"/>
      <c r="H67" s="7"/>
      <c r="I67" s="7"/>
      <c r="J67" s="7"/>
      <c r="K67" s="7"/>
    </row>
    <row r="68" spans="1:11" hidden="1" outlineLevel="1" x14ac:dyDescent="0.3">
      <c r="A68" s="81" t="s">
        <v>21</v>
      </c>
    </row>
    <row r="69" spans="1:11" ht="14.5" hidden="1" outlineLevel="1" thickBot="1" x14ac:dyDescent="0.35">
      <c r="A69" s="87" t="s">
        <v>22</v>
      </c>
      <c r="B69" s="68"/>
      <c r="C69" s="68"/>
      <c r="D69" s="68"/>
      <c r="E69" s="86">
        <v>150000</v>
      </c>
      <c r="F69" s="86">
        <v>150000</v>
      </c>
      <c r="G69" s="86">
        <v>150000</v>
      </c>
      <c r="H69" s="86">
        <v>250000</v>
      </c>
      <c r="I69" s="86">
        <v>250000</v>
      </c>
      <c r="J69" s="86">
        <v>500000</v>
      </c>
      <c r="K69" s="86">
        <v>500000</v>
      </c>
    </row>
    <row r="70" spans="1:11" ht="14.5" hidden="1" outlineLevel="1" thickTop="1" x14ac:dyDescent="0.3"/>
    <row r="71" spans="1:11" s="53" customFormat="1" hidden="1" outlineLevel="1" x14ac:dyDescent="0.3">
      <c r="A71" s="63" t="s">
        <v>25</v>
      </c>
    </row>
    <row r="72" spans="1:11" hidden="1" outlineLevel="1" x14ac:dyDescent="0.3">
      <c r="A72" s="88" t="s">
        <v>21</v>
      </c>
      <c r="B72" s="57"/>
      <c r="C72" s="57"/>
      <c r="D72" s="57"/>
    </row>
    <row r="73" spans="1:11" hidden="1" outlineLevel="1" x14ac:dyDescent="0.3">
      <c r="A73" s="82" t="s">
        <v>26</v>
      </c>
      <c r="B73" s="55"/>
      <c r="C73" s="55"/>
      <c r="D73" s="55"/>
      <c r="E73" s="50">
        <v>100000</v>
      </c>
      <c r="F73" s="50">
        <v>100000</v>
      </c>
      <c r="G73" s="50">
        <v>100000</v>
      </c>
      <c r="H73" s="50">
        <v>200000</v>
      </c>
      <c r="I73" s="50">
        <v>200000</v>
      </c>
      <c r="J73" s="50">
        <v>200000</v>
      </c>
      <c r="K73" s="50">
        <v>200000</v>
      </c>
    </row>
    <row r="74" spans="1:11" hidden="1" outlineLevel="1" x14ac:dyDescent="0.3">
      <c r="A74" s="82" t="s">
        <v>27</v>
      </c>
      <c r="B74" s="55"/>
      <c r="C74" s="55"/>
      <c r="D74" s="55"/>
      <c r="E74" s="50">
        <v>500000</v>
      </c>
      <c r="F74" s="50">
        <v>700000</v>
      </c>
      <c r="G74" s="50">
        <v>1000000</v>
      </c>
      <c r="H74" s="50">
        <v>1200000</v>
      </c>
      <c r="I74" s="50">
        <v>1500000</v>
      </c>
      <c r="J74" s="50">
        <v>2000000</v>
      </c>
      <c r="K74" s="50">
        <v>3000000</v>
      </c>
    </row>
    <row r="75" spans="1:11" hidden="1" outlineLevel="1" x14ac:dyDescent="0.3">
      <c r="A75" s="82" t="s">
        <v>28</v>
      </c>
      <c r="B75" s="55"/>
      <c r="C75" s="55"/>
      <c r="D75" s="55"/>
      <c r="E75" s="50">
        <v>100000</v>
      </c>
      <c r="F75" s="50">
        <v>100000</v>
      </c>
      <c r="G75" s="50">
        <v>100000</v>
      </c>
      <c r="H75" s="50">
        <v>200000</v>
      </c>
      <c r="I75" s="50">
        <v>200000</v>
      </c>
      <c r="J75" s="50">
        <v>200000</v>
      </c>
      <c r="K75" s="50">
        <v>200000</v>
      </c>
    </row>
    <row r="76" spans="1:11" hidden="1" outlineLevel="1" x14ac:dyDescent="0.3">
      <c r="A76" s="82" t="s">
        <v>29</v>
      </c>
      <c r="B76" s="55"/>
      <c r="C76" s="55"/>
      <c r="D76" s="55"/>
      <c r="E76" s="50">
        <v>100000</v>
      </c>
      <c r="F76" s="50">
        <v>100000</v>
      </c>
      <c r="G76" s="50">
        <v>200000</v>
      </c>
      <c r="H76" s="50">
        <v>200000</v>
      </c>
      <c r="I76" s="50">
        <v>400000</v>
      </c>
      <c r="J76" s="50">
        <v>400000</v>
      </c>
      <c r="K76" s="50">
        <v>400000</v>
      </c>
    </row>
    <row r="77" spans="1:11" ht="14.5" hidden="1" outlineLevel="1" thickBot="1" x14ac:dyDescent="0.35">
      <c r="A77" s="67" t="s">
        <v>66</v>
      </c>
      <c r="B77" s="68"/>
      <c r="C77" s="68"/>
      <c r="D77" s="68"/>
      <c r="E77" s="85">
        <f>SUM(E73:E76)</f>
        <v>800000</v>
      </c>
      <c r="F77" s="85">
        <f t="shared" ref="F77:K77" si="18">SUM(F73:F76)</f>
        <v>1000000</v>
      </c>
      <c r="G77" s="85">
        <f t="shared" si="18"/>
        <v>1400000</v>
      </c>
      <c r="H77" s="85">
        <f t="shared" si="18"/>
        <v>1800000</v>
      </c>
      <c r="I77" s="85">
        <f t="shared" si="18"/>
        <v>2300000</v>
      </c>
      <c r="J77" s="85">
        <f t="shared" si="18"/>
        <v>2800000</v>
      </c>
      <c r="K77" s="85">
        <f t="shared" si="18"/>
        <v>3800000</v>
      </c>
    </row>
    <row r="78" spans="1:11" ht="14.5" hidden="1" outlineLevel="1" thickTop="1" x14ac:dyDescent="0.3"/>
    <row r="79" spans="1:11" s="53" customFormat="1" hidden="1" outlineLevel="1" x14ac:dyDescent="0.3">
      <c r="A79" s="63" t="s">
        <v>34</v>
      </c>
    </row>
    <row r="80" spans="1:11" hidden="1" outlineLevel="1" x14ac:dyDescent="0.3">
      <c r="A80" s="4" t="s">
        <v>45</v>
      </c>
    </row>
    <row r="81" spans="1:11" hidden="1" outlineLevel="1" x14ac:dyDescent="0.3">
      <c r="A81" s="54" t="s">
        <v>35</v>
      </c>
      <c r="B81" s="55"/>
      <c r="C81" s="55"/>
      <c r="D81" s="55"/>
      <c r="E81" s="50">
        <v>5</v>
      </c>
      <c r="F81" s="50">
        <v>5</v>
      </c>
      <c r="G81" s="50">
        <v>5</v>
      </c>
      <c r="H81" s="50">
        <v>5</v>
      </c>
      <c r="I81" s="50">
        <v>5</v>
      </c>
      <c r="J81" s="50">
        <v>5</v>
      </c>
      <c r="K81" s="50">
        <v>5</v>
      </c>
    </row>
    <row r="82" spans="1:11" hidden="1" outlineLevel="1" x14ac:dyDescent="0.3">
      <c r="A82" s="54" t="s">
        <v>36</v>
      </c>
      <c r="B82" s="55"/>
      <c r="C82" s="55"/>
      <c r="D82" s="55"/>
      <c r="E82" s="50">
        <v>120</v>
      </c>
      <c r="F82" s="50">
        <v>100</v>
      </c>
      <c r="G82" s="50">
        <v>90</v>
      </c>
      <c r="H82" s="50">
        <v>90</v>
      </c>
      <c r="I82" s="50">
        <v>90</v>
      </c>
      <c r="J82" s="50">
        <v>90</v>
      </c>
      <c r="K82" s="50">
        <v>90</v>
      </c>
    </row>
    <row r="83" spans="1:11" hidden="1" outlineLevel="1" x14ac:dyDescent="0.3">
      <c r="A83" s="54" t="s">
        <v>37</v>
      </c>
      <c r="B83" s="55"/>
      <c r="C83" s="55"/>
      <c r="D83" s="93">
        <v>365</v>
      </c>
      <c r="E83" s="89">
        <f>$D$83/E82</f>
        <v>3.0416666666666665</v>
      </c>
      <c r="F83" s="89">
        <f t="shared" ref="F83:K83" si="19">$D$83/F82</f>
        <v>3.65</v>
      </c>
      <c r="G83" s="89">
        <f t="shared" si="19"/>
        <v>4.0555555555555554</v>
      </c>
      <c r="H83" s="89">
        <f t="shared" si="19"/>
        <v>4.0555555555555554</v>
      </c>
      <c r="I83" s="89">
        <f t="shared" si="19"/>
        <v>4.0555555555555554</v>
      </c>
      <c r="J83" s="89">
        <f t="shared" si="19"/>
        <v>4.0555555555555554</v>
      </c>
      <c r="K83" s="89">
        <f t="shared" si="19"/>
        <v>4.0555555555555554</v>
      </c>
    </row>
    <row r="84" spans="1:11" hidden="1" outlineLevel="1" x14ac:dyDescent="0.3">
      <c r="D84" s="9"/>
      <c r="E84" s="8"/>
      <c r="F84" s="8"/>
      <c r="G84" s="8"/>
      <c r="H84" s="8"/>
      <c r="I84" s="8"/>
      <c r="J84" s="8"/>
      <c r="K84" s="8"/>
    </row>
    <row r="85" spans="1:11" hidden="1" outlineLevel="1" x14ac:dyDescent="0.3">
      <c r="A85" s="4" t="s">
        <v>46</v>
      </c>
    </row>
    <row r="86" spans="1:11" hidden="1" outlineLevel="1" x14ac:dyDescent="0.3">
      <c r="A86" s="54" t="s">
        <v>40</v>
      </c>
      <c r="B86" s="55"/>
      <c r="C86" s="55"/>
      <c r="D86" s="55"/>
      <c r="E86" s="50">
        <v>60</v>
      </c>
      <c r="F86" s="50">
        <v>50</v>
      </c>
      <c r="G86" s="50">
        <v>40</v>
      </c>
      <c r="H86" s="50">
        <v>30</v>
      </c>
      <c r="I86" s="50">
        <v>30</v>
      </c>
      <c r="J86" s="50">
        <v>30</v>
      </c>
      <c r="K86" s="50">
        <v>30</v>
      </c>
    </row>
    <row r="87" spans="1:11" hidden="1" outlineLevel="1" x14ac:dyDescent="0.3"/>
    <row r="88" spans="1:11" hidden="1" outlineLevel="1" x14ac:dyDescent="0.3">
      <c r="A88" s="4" t="s">
        <v>41</v>
      </c>
      <c r="E88" s="2"/>
      <c r="F88" s="2"/>
      <c r="G88" s="2"/>
      <c r="H88" s="2"/>
      <c r="I88" s="2"/>
      <c r="J88" s="2"/>
      <c r="K88" s="2"/>
    </row>
    <row r="89" spans="1:11" hidden="1" outlineLevel="1" x14ac:dyDescent="0.3">
      <c r="A89" s="54" t="s">
        <v>43</v>
      </c>
      <c r="B89" s="55"/>
      <c r="C89" s="55"/>
      <c r="D89" s="55"/>
      <c r="E89" s="50">
        <v>300000</v>
      </c>
      <c r="F89" s="50">
        <v>50000</v>
      </c>
      <c r="G89" s="50">
        <v>50000</v>
      </c>
      <c r="H89" s="50">
        <v>500000</v>
      </c>
      <c r="I89" s="50">
        <v>50000</v>
      </c>
      <c r="J89" s="50">
        <v>1000000</v>
      </c>
      <c r="K89" s="50">
        <v>100000</v>
      </c>
    </row>
    <row r="90" spans="1:11" hidden="1" outlineLevel="1" x14ac:dyDescent="0.3">
      <c r="A90" s="54" t="s">
        <v>44</v>
      </c>
      <c r="B90" s="55"/>
      <c r="C90" s="55"/>
      <c r="D90" s="55"/>
      <c r="E90" s="50">
        <v>200000</v>
      </c>
      <c r="F90" s="50">
        <v>50000</v>
      </c>
      <c r="G90" s="50">
        <v>50000</v>
      </c>
      <c r="H90" s="50">
        <v>50000</v>
      </c>
      <c r="I90" s="50">
        <v>200000</v>
      </c>
      <c r="J90" s="50">
        <v>100000</v>
      </c>
      <c r="K90" s="50">
        <v>500000</v>
      </c>
    </row>
    <row r="91" spans="1:11" hidden="1" outlineLevel="1" x14ac:dyDescent="0.3">
      <c r="A91" s="48" t="s">
        <v>85</v>
      </c>
      <c r="B91" s="49"/>
      <c r="C91" s="49"/>
      <c r="D91" s="49"/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</row>
    <row r="92" spans="1:11" hidden="1" outlineLevel="1" x14ac:dyDescent="0.3"/>
    <row r="93" spans="1:11" hidden="1" outlineLevel="1" x14ac:dyDescent="0.3">
      <c r="A93" s="4" t="s">
        <v>42</v>
      </c>
    </row>
    <row r="94" spans="1:11" hidden="1" outlineLevel="1" x14ac:dyDescent="0.3">
      <c r="A94" s="54" t="s">
        <v>94</v>
      </c>
      <c r="B94" s="55"/>
      <c r="C94" s="55"/>
      <c r="D94" s="55"/>
      <c r="E94" s="50">
        <v>5</v>
      </c>
      <c r="F94" s="50">
        <v>5</v>
      </c>
      <c r="G94" s="50">
        <v>5</v>
      </c>
      <c r="H94" s="50">
        <v>5</v>
      </c>
      <c r="I94" s="50">
        <v>5</v>
      </c>
      <c r="J94" s="50">
        <v>5</v>
      </c>
      <c r="K94" s="50">
        <v>5</v>
      </c>
    </row>
    <row r="95" spans="1:11" hidden="1" outlineLevel="1" x14ac:dyDescent="0.3">
      <c r="A95" s="54" t="s">
        <v>95</v>
      </c>
      <c r="B95" s="55"/>
      <c r="C95" s="55"/>
      <c r="D95" s="55"/>
      <c r="E95" s="50">
        <v>5</v>
      </c>
      <c r="F95" s="50">
        <v>5</v>
      </c>
      <c r="G95" s="50">
        <v>5</v>
      </c>
      <c r="H95" s="50">
        <v>5</v>
      </c>
      <c r="I95" s="50">
        <v>5</v>
      </c>
      <c r="J95" s="50">
        <v>5</v>
      </c>
      <c r="K95" s="50">
        <v>5</v>
      </c>
    </row>
    <row r="96" spans="1:11" hidden="1" outlineLevel="1" x14ac:dyDescent="0.3"/>
    <row r="97" spans="1:18" hidden="1" outlineLevel="1" x14ac:dyDescent="0.3">
      <c r="A97" s="4" t="s">
        <v>47</v>
      </c>
    </row>
    <row r="98" spans="1:18" hidden="1" outlineLevel="1" x14ac:dyDescent="0.3">
      <c r="A98" s="54" t="s">
        <v>160</v>
      </c>
      <c r="B98" s="55"/>
      <c r="C98" s="55"/>
      <c r="D98" s="55"/>
      <c r="E98" s="90">
        <v>0.03</v>
      </c>
      <c r="F98" s="90">
        <v>0.03</v>
      </c>
      <c r="G98" s="90">
        <v>0.03</v>
      </c>
      <c r="H98" s="90">
        <v>0.03</v>
      </c>
      <c r="I98" s="90">
        <v>0.03</v>
      </c>
      <c r="J98" s="90">
        <v>0.03</v>
      </c>
      <c r="K98" s="90">
        <v>0.03</v>
      </c>
    </row>
    <row r="99" spans="1:18" hidden="1" outlineLevel="1" x14ac:dyDescent="0.3">
      <c r="A99" s="54" t="s">
        <v>147</v>
      </c>
      <c r="B99" s="55"/>
      <c r="C99" s="55"/>
      <c r="D99" s="92"/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</row>
    <row r="100" spans="1:18" hidden="1" outlineLevel="1" x14ac:dyDescent="0.3">
      <c r="A100" s="54" t="s">
        <v>48</v>
      </c>
      <c r="B100" s="55"/>
      <c r="C100" s="55"/>
      <c r="D100" s="55"/>
      <c r="E100" s="91">
        <v>5000000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</row>
    <row r="101" spans="1:18" hidden="1" outlineLevel="1" x14ac:dyDescent="0.3">
      <c r="A101" s="54" t="s">
        <v>49</v>
      </c>
      <c r="B101" s="55"/>
      <c r="C101" s="55"/>
      <c r="D101" s="55"/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</row>
    <row r="102" spans="1:18" hidden="1" outlineLevel="1" x14ac:dyDescent="0.3">
      <c r="E102" s="2"/>
      <c r="F102" s="2"/>
      <c r="G102" s="2"/>
      <c r="H102" s="2"/>
      <c r="I102" s="2"/>
      <c r="J102" s="2"/>
      <c r="K102" s="2"/>
    </row>
    <row r="103" spans="1:18" hidden="1" outlineLevel="1" x14ac:dyDescent="0.3">
      <c r="A103" s="4" t="s">
        <v>114</v>
      </c>
      <c r="E103" s="2"/>
      <c r="F103" s="2"/>
      <c r="G103" s="2"/>
      <c r="H103" s="2"/>
      <c r="I103" s="2"/>
      <c r="J103" s="2"/>
      <c r="K103" s="2"/>
    </row>
    <row r="104" spans="1:18" hidden="1" outlineLevel="1" x14ac:dyDescent="0.3">
      <c r="A104" s="46" t="s">
        <v>120</v>
      </c>
      <c r="E104" s="6">
        <v>0.25</v>
      </c>
      <c r="F104" s="6">
        <v>0.25</v>
      </c>
      <c r="G104" s="6">
        <v>0.25</v>
      </c>
      <c r="H104" s="6">
        <v>0.25</v>
      </c>
      <c r="I104" s="6">
        <v>0.25</v>
      </c>
      <c r="J104" s="6">
        <v>0.25</v>
      </c>
      <c r="K104" s="6">
        <v>0.25</v>
      </c>
    </row>
    <row r="105" spans="1:18" hidden="1" outlineLevel="1" x14ac:dyDescent="0.3">
      <c r="A105" s="46" t="s">
        <v>126</v>
      </c>
      <c r="D105" s="12">
        <v>0.2</v>
      </c>
      <c r="E105" s="15">
        <f>D105</f>
        <v>0.2</v>
      </c>
      <c r="F105" s="15">
        <f t="shared" ref="F105:K105" si="20">E105</f>
        <v>0.2</v>
      </c>
      <c r="G105" s="15">
        <f t="shared" si="20"/>
        <v>0.2</v>
      </c>
      <c r="H105" s="15">
        <f t="shared" si="20"/>
        <v>0.2</v>
      </c>
      <c r="I105" s="15">
        <f t="shared" si="20"/>
        <v>0.2</v>
      </c>
      <c r="J105" s="15">
        <f t="shared" si="20"/>
        <v>0.2</v>
      </c>
      <c r="K105" s="15">
        <f t="shared" si="20"/>
        <v>0.2</v>
      </c>
    </row>
    <row r="106" spans="1:18" hidden="1" outlineLevel="1" x14ac:dyDescent="0.3">
      <c r="A106" s="46" t="s">
        <v>142</v>
      </c>
      <c r="D106" s="13">
        <v>8</v>
      </c>
    </row>
    <row r="107" spans="1:18" collapsed="1" x14ac:dyDescent="0.3">
      <c r="A107" s="46"/>
    </row>
    <row r="108" spans="1:18" s="14" customFormat="1" ht="19" customHeight="1" x14ac:dyDescent="0.35">
      <c r="A108" s="31" t="s">
        <v>50</v>
      </c>
      <c r="B108" s="32"/>
      <c r="C108" s="32"/>
      <c r="D108" s="33"/>
      <c r="E108" s="33"/>
      <c r="F108" s="34"/>
      <c r="G108" s="34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idden="1" outlineLevel="1" x14ac:dyDescent="0.3"/>
    <row r="110" spans="1:18" hidden="1" outlineLevel="1" x14ac:dyDescent="0.3">
      <c r="A110" s="54" t="s">
        <v>51</v>
      </c>
      <c r="B110" s="55"/>
      <c r="C110" s="55"/>
      <c r="D110" s="55"/>
      <c r="E110" s="94">
        <f t="shared" ref="E110:K110" si="21">E34*E43</f>
        <v>5478000</v>
      </c>
      <c r="F110" s="94">
        <f>F34*F43</f>
        <v>7704000</v>
      </c>
      <c r="G110" s="94">
        <f t="shared" si="21"/>
        <v>11778000</v>
      </c>
      <c r="H110" s="94">
        <f t="shared" si="21"/>
        <v>17724000</v>
      </c>
      <c r="I110" s="94">
        <f t="shared" si="21"/>
        <v>23940000</v>
      </c>
      <c r="J110" s="94">
        <f t="shared" si="21"/>
        <v>32736000</v>
      </c>
      <c r="K110" s="94">
        <f t="shared" si="21"/>
        <v>38862000</v>
      </c>
    </row>
    <row r="111" spans="1:18" hidden="1" outlineLevel="1" x14ac:dyDescent="0.3">
      <c r="A111" s="80" t="s">
        <v>52</v>
      </c>
      <c r="B111" s="73"/>
      <c r="C111" s="73"/>
      <c r="D111" s="73"/>
      <c r="E111" s="47">
        <f t="shared" ref="E111:K111" si="22">-E34*(E43-E44)</f>
        <v>-1643400</v>
      </c>
      <c r="F111" s="47">
        <f t="shared" si="22"/>
        <v>-2157120</v>
      </c>
      <c r="G111" s="47">
        <f t="shared" si="22"/>
        <v>-2944500</v>
      </c>
      <c r="H111" s="47">
        <f t="shared" si="22"/>
        <v>-3899280</v>
      </c>
      <c r="I111" s="47">
        <f t="shared" si="22"/>
        <v>-4788000</v>
      </c>
      <c r="J111" s="47">
        <f t="shared" si="22"/>
        <v>-5892480</v>
      </c>
      <c r="K111" s="47">
        <f t="shared" si="22"/>
        <v>-6995160</v>
      </c>
    </row>
    <row r="112" spans="1:18" ht="14.5" hidden="1" outlineLevel="1" thickBot="1" x14ac:dyDescent="0.35">
      <c r="A112" s="67" t="s">
        <v>53</v>
      </c>
      <c r="B112" s="67"/>
      <c r="C112" s="67"/>
      <c r="D112" s="67"/>
      <c r="E112" s="66">
        <f>SUM(E110:E111)</f>
        <v>3834600</v>
      </c>
      <c r="F112" s="66">
        <f t="shared" ref="F112:K112" si="23">SUM(F110:F111)</f>
        <v>5546880</v>
      </c>
      <c r="G112" s="66">
        <f t="shared" si="23"/>
        <v>8833500</v>
      </c>
      <c r="H112" s="66">
        <f t="shared" si="23"/>
        <v>13824720</v>
      </c>
      <c r="I112" s="66">
        <f t="shared" si="23"/>
        <v>19152000</v>
      </c>
      <c r="J112" s="66">
        <f t="shared" si="23"/>
        <v>26843520</v>
      </c>
      <c r="K112" s="66">
        <f t="shared" si="23"/>
        <v>31866840</v>
      </c>
    </row>
    <row r="113" spans="1:11" ht="14.5" hidden="1" outlineLevel="1" thickTop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idden="1" outlineLevel="1" x14ac:dyDescent="0.3">
      <c r="A114" s="95" t="s">
        <v>54</v>
      </c>
      <c r="B114" s="47"/>
      <c r="C114" s="47"/>
      <c r="D114" s="47"/>
      <c r="E114" s="47">
        <f t="shared" ref="E114:K114" si="24">E41*E43*E34</f>
        <v>2739000</v>
      </c>
      <c r="F114" s="47">
        <f t="shared" si="24"/>
        <v>3852000</v>
      </c>
      <c r="G114" s="47">
        <f t="shared" si="24"/>
        <v>5889000</v>
      </c>
      <c r="H114" s="47">
        <f t="shared" si="24"/>
        <v>8862000</v>
      </c>
      <c r="I114" s="47">
        <f t="shared" si="24"/>
        <v>11970000</v>
      </c>
      <c r="J114" s="47">
        <f t="shared" si="24"/>
        <v>16368000</v>
      </c>
      <c r="K114" s="47">
        <f t="shared" si="24"/>
        <v>19431000</v>
      </c>
    </row>
    <row r="115" spans="1:11" ht="14.5" hidden="1" outlineLevel="1" thickBot="1" x14ac:dyDescent="0.35">
      <c r="A115" s="67" t="s">
        <v>55</v>
      </c>
      <c r="B115" s="67"/>
      <c r="C115" s="67"/>
      <c r="D115" s="67"/>
      <c r="E115" s="66">
        <f>E112-E114</f>
        <v>1095600</v>
      </c>
      <c r="F115" s="66">
        <f t="shared" ref="F115:K115" si="25">F112-F114</f>
        <v>1694880</v>
      </c>
      <c r="G115" s="66">
        <f t="shared" si="25"/>
        <v>2944500</v>
      </c>
      <c r="H115" s="66">
        <f t="shared" si="25"/>
        <v>4962720</v>
      </c>
      <c r="I115" s="66">
        <f t="shared" si="25"/>
        <v>7182000</v>
      </c>
      <c r="J115" s="66">
        <f t="shared" si="25"/>
        <v>10475520</v>
      </c>
      <c r="K115" s="66">
        <f t="shared" si="25"/>
        <v>12435840</v>
      </c>
    </row>
    <row r="116" spans="1:11" s="99" customFormat="1" ht="14.5" hidden="1" outlineLevel="1" thickTop="1" x14ac:dyDescent="0.3">
      <c r="A116" s="96" t="s">
        <v>57</v>
      </c>
      <c r="B116" s="97"/>
      <c r="C116" s="97"/>
      <c r="D116" s="97"/>
      <c r="E116" s="98">
        <f>E115/E$112</f>
        <v>0.2857142857142857</v>
      </c>
      <c r="F116" s="98">
        <f t="shared" ref="F116:K116" si="26">F115/F$112</f>
        <v>0.30555555555555558</v>
      </c>
      <c r="G116" s="98">
        <f t="shared" si="26"/>
        <v>0.33333333333333331</v>
      </c>
      <c r="H116" s="98">
        <f t="shared" si="26"/>
        <v>0.35897435897435898</v>
      </c>
      <c r="I116" s="98">
        <f t="shared" si="26"/>
        <v>0.375</v>
      </c>
      <c r="J116" s="98">
        <f t="shared" si="26"/>
        <v>0.3902439024390244</v>
      </c>
      <c r="K116" s="98">
        <f t="shared" si="26"/>
        <v>0.3902439024390244</v>
      </c>
    </row>
    <row r="117" spans="1:11" hidden="1" outlineLevel="1" x14ac:dyDescent="0.3">
      <c r="A117" s="3"/>
      <c r="B117" s="3"/>
      <c r="C117" s="3"/>
      <c r="D117" s="3"/>
      <c r="E117" s="5"/>
      <c r="F117" s="5"/>
      <c r="G117" s="5"/>
      <c r="H117" s="5"/>
      <c r="I117" s="5"/>
      <c r="J117" s="5"/>
      <c r="K117" s="5"/>
    </row>
    <row r="118" spans="1:11" hidden="1" outlineLevel="1" x14ac:dyDescent="0.3">
      <c r="A118" s="4" t="s">
        <v>58</v>
      </c>
    </row>
    <row r="119" spans="1:11" hidden="1" outlineLevel="1" x14ac:dyDescent="0.3">
      <c r="A119" s="48" t="s">
        <v>59</v>
      </c>
      <c r="B119" s="49"/>
      <c r="C119" s="49"/>
      <c r="D119" s="49"/>
      <c r="E119" s="49">
        <f t="shared" ref="E119:K119" si="27">E60*E20</f>
        <v>2280000</v>
      </c>
      <c r="F119" s="49">
        <f t="shared" si="27"/>
        <v>1380000</v>
      </c>
      <c r="G119" s="49">
        <f t="shared" si="27"/>
        <v>690000</v>
      </c>
      <c r="H119" s="49">
        <f t="shared" si="27"/>
        <v>720000</v>
      </c>
      <c r="I119" s="49">
        <f t="shared" si="27"/>
        <v>720000</v>
      </c>
      <c r="J119" s="49">
        <f t="shared" si="27"/>
        <v>750000</v>
      </c>
      <c r="K119" s="49">
        <f t="shared" si="27"/>
        <v>780000</v>
      </c>
    </row>
    <row r="120" spans="1:11" hidden="1" outlineLevel="1" x14ac:dyDescent="0.3">
      <c r="A120" s="48" t="s">
        <v>62</v>
      </c>
      <c r="B120" s="49"/>
      <c r="C120" s="49"/>
      <c r="D120" s="49"/>
      <c r="E120" s="49">
        <f t="shared" ref="E120:K120" si="28">E66*E34</f>
        <v>338640</v>
      </c>
      <c r="F120" s="49">
        <f t="shared" si="28"/>
        <v>385200</v>
      </c>
      <c r="G120" s="49">
        <f t="shared" si="28"/>
        <v>507360</v>
      </c>
      <c r="H120" s="49">
        <f t="shared" si="28"/>
        <v>708960</v>
      </c>
      <c r="I120" s="49">
        <f t="shared" si="28"/>
        <v>829920</v>
      </c>
      <c r="J120" s="49">
        <f t="shared" si="28"/>
        <v>1063920</v>
      </c>
      <c r="K120" s="49">
        <f t="shared" si="28"/>
        <v>1097280</v>
      </c>
    </row>
    <row r="121" spans="1:11" hidden="1" outlineLevel="1" x14ac:dyDescent="0.3">
      <c r="A121" s="48" t="s">
        <v>63</v>
      </c>
      <c r="B121" s="49"/>
      <c r="C121" s="49"/>
      <c r="D121" s="49"/>
      <c r="E121" s="49">
        <f>SUM(E119:E120)</f>
        <v>2618640</v>
      </c>
      <c r="F121" s="49">
        <f t="shared" ref="F121:K121" si="29">SUM(F119:F120)</f>
        <v>1765200</v>
      </c>
      <c r="G121" s="49">
        <f t="shared" si="29"/>
        <v>1197360</v>
      </c>
      <c r="H121" s="49">
        <f t="shared" si="29"/>
        <v>1428960</v>
      </c>
      <c r="I121" s="49">
        <f t="shared" si="29"/>
        <v>1549920</v>
      </c>
      <c r="J121" s="49">
        <f t="shared" si="29"/>
        <v>1813920</v>
      </c>
      <c r="K121" s="49">
        <f t="shared" si="29"/>
        <v>1877280</v>
      </c>
    </row>
    <row r="122" spans="1:11" ht="14.5" hidden="1" outlineLevel="1" thickBot="1" x14ac:dyDescent="0.35">
      <c r="A122" s="67" t="s">
        <v>64</v>
      </c>
      <c r="B122" s="67"/>
      <c r="C122" s="67"/>
      <c r="D122" s="67"/>
      <c r="E122" s="66">
        <f>E115-E121</f>
        <v>-1523040</v>
      </c>
      <c r="F122" s="66">
        <f t="shared" ref="F122:K122" si="30">F115-F121</f>
        <v>-70320</v>
      </c>
      <c r="G122" s="66">
        <f t="shared" si="30"/>
        <v>1747140</v>
      </c>
      <c r="H122" s="66">
        <f t="shared" si="30"/>
        <v>3533760</v>
      </c>
      <c r="I122" s="66">
        <f t="shared" si="30"/>
        <v>5632080</v>
      </c>
      <c r="J122" s="66">
        <f t="shared" si="30"/>
        <v>8661600</v>
      </c>
      <c r="K122" s="66">
        <f t="shared" si="30"/>
        <v>10558560</v>
      </c>
    </row>
    <row r="123" spans="1:11" s="99" customFormat="1" ht="14.5" hidden="1" outlineLevel="1" thickTop="1" x14ac:dyDescent="0.3">
      <c r="A123" s="96" t="s">
        <v>56</v>
      </c>
      <c r="B123" s="97"/>
      <c r="C123" s="97"/>
      <c r="D123" s="97"/>
      <c r="E123" s="98">
        <f>E122/E$112</f>
        <v>-0.39718353935221407</v>
      </c>
      <c r="F123" s="98">
        <f t="shared" ref="F123:K123" si="31">F122/F$112</f>
        <v>-1.2677397023191416E-2</v>
      </c>
      <c r="G123" s="98">
        <f t="shared" si="31"/>
        <v>0.19778570215656308</v>
      </c>
      <c r="H123" s="98">
        <f t="shared" si="31"/>
        <v>0.25561168689130775</v>
      </c>
      <c r="I123" s="98">
        <f t="shared" si="31"/>
        <v>0.29407268170426065</v>
      </c>
      <c r="J123" s="98">
        <f t="shared" si="31"/>
        <v>0.32267005221371864</v>
      </c>
      <c r="K123" s="98">
        <f t="shared" si="31"/>
        <v>0.33133376261970121</v>
      </c>
    </row>
    <row r="124" spans="1:11" hidden="1" outlineLevel="1" x14ac:dyDescent="0.3"/>
    <row r="125" spans="1:11" hidden="1" outlineLevel="1" x14ac:dyDescent="0.3">
      <c r="A125" s="4" t="s">
        <v>65</v>
      </c>
    </row>
    <row r="126" spans="1:11" hidden="1" outlineLevel="1" x14ac:dyDescent="0.3">
      <c r="A126" s="48" t="s">
        <v>62</v>
      </c>
      <c r="B126" s="49"/>
      <c r="C126" s="49"/>
      <c r="D126" s="49"/>
      <c r="E126" s="49">
        <f t="shared" ref="E126:K126" si="32">E69</f>
        <v>150000</v>
      </c>
      <c r="F126" s="49">
        <f t="shared" si="32"/>
        <v>150000</v>
      </c>
      <c r="G126" s="49">
        <f t="shared" si="32"/>
        <v>150000</v>
      </c>
      <c r="H126" s="49">
        <f t="shared" si="32"/>
        <v>250000</v>
      </c>
      <c r="I126" s="49">
        <f t="shared" si="32"/>
        <v>250000</v>
      </c>
      <c r="J126" s="49">
        <f t="shared" si="32"/>
        <v>500000</v>
      </c>
      <c r="K126" s="49">
        <f t="shared" si="32"/>
        <v>500000</v>
      </c>
    </row>
    <row r="127" spans="1:11" hidden="1" outlineLevel="1" x14ac:dyDescent="0.3">
      <c r="A127" s="48" t="s">
        <v>25</v>
      </c>
      <c r="B127" s="49"/>
      <c r="C127" s="49"/>
      <c r="D127" s="49"/>
      <c r="E127" s="49">
        <f t="shared" ref="E127:K127" si="33">E77</f>
        <v>800000</v>
      </c>
      <c r="F127" s="49">
        <f t="shared" si="33"/>
        <v>1000000</v>
      </c>
      <c r="G127" s="49">
        <f t="shared" si="33"/>
        <v>1400000</v>
      </c>
      <c r="H127" s="49">
        <f t="shared" si="33"/>
        <v>1800000</v>
      </c>
      <c r="I127" s="49">
        <f t="shared" si="33"/>
        <v>2300000</v>
      </c>
      <c r="J127" s="49">
        <f t="shared" si="33"/>
        <v>2800000</v>
      </c>
      <c r="K127" s="49">
        <f t="shared" si="33"/>
        <v>3800000</v>
      </c>
    </row>
    <row r="128" spans="1:11" hidden="1" outlineLevel="1" x14ac:dyDescent="0.3">
      <c r="A128" s="48" t="s">
        <v>66</v>
      </c>
      <c r="B128" s="49"/>
      <c r="C128" s="49"/>
      <c r="D128" s="49"/>
      <c r="E128" s="49">
        <f>SUM(E126:E127)</f>
        <v>950000</v>
      </c>
      <c r="F128" s="49">
        <f t="shared" ref="F128:K128" si="34">SUM(F126:F127)</f>
        <v>1150000</v>
      </c>
      <c r="G128" s="49">
        <f t="shared" si="34"/>
        <v>1550000</v>
      </c>
      <c r="H128" s="49">
        <f t="shared" si="34"/>
        <v>2050000</v>
      </c>
      <c r="I128" s="49">
        <f t="shared" si="34"/>
        <v>2550000</v>
      </c>
      <c r="J128" s="49">
        <f t="shared" si="34"/>
        <v>3300000</v>
      </c>
      <c r="K128" s="49">
        <f t="shared" si="34"/>
        <v>4300000</v>
      </c>
    </row>
    <row r="129" spans="1:18" ht="14.5" hidden="1" outlineLevel="1" thickBot="1" x14ac:dyDescent="0.35">
      <c r="A129" s="67" t="s">
        <v>67</v>
      </c>
      <c r="B129" s="67"/>
      <c r="C129" s="67"/>
      <c r="D129" s="67"/>
      <c r="E129" s="66">
        <f>E122-E128</f>
        <v>-2473040</v>
      </c>
      <c r="F129" s="66">
        <f t="shared" ref="F129:K129" si="35">F122-F128</f>
        <v>-1220320</v>
      </c>
      <c r="G129" s="66">
        <f t="shared" si="35"/>
        <v>197140</v>
      </c>
      <c r="H129" s="66">
        <f t="shared" si="35"/>
        <v>1483760</v>
      </c>
      <c r="I129" s="66">
        <f t="shared" si="35"/>
        <v>3082080</v>
      </c>
      <c r="J129" s="66">
        <f t="shared" si="35"/>
        <v>5361600</v>
      </c>
      <c r="K129" s="66">
        <f t="shared" si="35"/>
        <v>6258560</v>
      </c>
    </row>
    <row r="130" spans="1:18" s="99" customFormat="1" ht="14.5" hidden="1" outlineLevel="1" thickTop="1" x14ac:dyDescent="0.3">
      <c r="A130" s="96" t="s">
        <v>56</v>
      </c>
      <c r="B130" s="97"/>
      <c r="C130" s="97"/>
      <c r="D130" s="97"/>
      <c r="E130" s="98">
        <f>E129/E$112</f>
        <v>-0.64492776300005217</v>
      </c>
      <c r="F130" s="98">
        <f t="shared" ref="F130:K130" si="36">F129/F$112</f>
        <v>-0.22000115380177684</v>
      </c>
      <c r="G130" s="98">
        <f t="shared" si="36"/>
        <v>2.2317314767645893E-2</v>
      </c>
      <c r="H130" s="98">
        <f t="shared" si="36"/>
        <v>0.10732658599957177</v>
      </c>
      <c r="I130" s="98">
        <f t="shared" si="36"/>
        <v>0.16092731829573934</v>
      </c>
      <c r="J130" s="98">
        <f t="shared" si="36"/>
        <v>0.19973535512481225</v>
      </c>
      <c r="K130" s="98">
        <f t="shared" si="36"/>
        <v>0.19639725809022796</v>
      </c>
    </row>
    <row r="131" spans="1:18" hidden="1" outlineLevel="1" x14ac:dyDescent="0.3"/>
    <row r="132" spans="1:18" hidden="1" outlineLevel="1" x14ac:dyDescent="0.3">
      <c r="A132" s="48" t="s">
        <v>42</v>
      </c>
      <c r="B132" s="49"/>
      <c r="C132" s="49"/>
      <c r="D132" s="49"/>
      <c r="E132" s="49">
        <f>+E238</f>
        <v>100000</v>
      </c>
      <c r="F132" s="49">
        <f t="shared" ref="F132:K132" si="37">+F238</f>
        <v>120000</v>
      </c>
      <c r="G132" s="49">
        <f t="shared" si="37"/>
        <v>140000</v>
      </c>
      <c r="H132" s="49">
        <f t="shared" si="37"/>
        <v>250000</v>
      </c>
      <c r="I132" s="49">
        <f t="shared" si="37"/>
        <v>300000</v>
      </c>
      <c r="J132" s="49">
        <f t="shared" si="37"/>
        <v>420000</v>
      </c>
      <c r="K132" s="49">
        <f t="shared" si="37"/>
        <v>520000</v>
      </c>
    </row>
    <row r="133" spans="1:18" hidden="1" outlineLevel="1" x14ac:dyDescent="0.3">
      <c r="A133" s="48" t="s">
        <v>68</v>
      </c>
      <c r="B133" s="49"/>
      <c r="C133" s="49"/>
      <c r="D133" s="49"/>
      <c r="E133" s="49">
        <f>+E251</f>
        <v>0</v>
      </c>
      <c r="F133" s="49">
        <f>+F251</f>
        <v>0</v>
      </c>
      <c r="G133" s="49">
        <f t="shared" ref="G133:K133" si="38">+G251</f>
        <v>0</v>
      </c>
      <c r="H133" s="49">
        <f t="shared" si="38"/>
        <v>0</v>
      </c>
      <c r="I133" s="49">
        <f t="shared" si="38"/>
        <v>0</v>
      </c>
      <c r="J133" s="49">
        <f t="shared" si="38"/>
        <v>0</v>
      </c>
      <c r="K133" s="49">
        <f t="shared" si="38"/>
        <v>0</v>
      </c>
    </row>
    <row r="134" spans="1:18" ht="14.5" hidden="1" outlineLevel="1" thickBot="1" x14ac:dyDescent="0.35">
      <c r="A134" s="67" t="s">
        <v>69</v>
      </c>
      <c r="B134" s="67"/>
      <c r="C134" s="67"/>
      <c r="D134" s="67"/>
      <c r="E134" s="66">
        <f>E129-E132-E133</f>
        <v>-2573040</v>
      </c>
      <c r="F134" s="66">
        <f t="shared" ref="F134:K134" si="39">F129-F132-F133</f>
        <v>-1340320</v>
      </c>
      <c r="G134" s="66">
        <f t="shared" si="39"/>
        <v>57140</v>
      </c>
      <c r="H134" s="66">
        <f t="shared" si="39"/>
        <v>1233760</v>
      </c>
      <c r="I134" s="66">
        <f t="shared" si="39"/>
        <v>2782080</v>
      </c>
      <c r="J134" s="66">
        <f t="shared" si="39"/>
        <v>4941600</v>
      </c>
      <c r="K134" s="66">
        <f t="shared" si="39"/>
        <v>5738560</v>
      </c>
    </row>
    <row r="135" spans="1:18" ht="14.5" hidden="1" outlineLevel="1" thickTop="1" x14ac:dyDescent="0.3"/>
    <row r="136" spans="1:18" hidden="1" outlineLevel="1" x14ac:dyDescent="0.3">
      <c r="A136" s="48" t="s">
        <v>70</v>
      </c>
      <c r="B136" s="49"/>
      <c r="C136" s="49"/>
      <c r="D136" s="49"/>
      <c r="E136" s="49">
        <f>IF(E134&lt;0,0,E134*E104)</f>
        <v>0</v>
      </c>
      <c r="F136" s="49">
        <f t="shared" ref="F136:K136" si="40">IF(F134&lt;0,0,F134*F104)</f>
        <v>0</v>
      </c>
      <c r="G136" s="49">
        <f t="shared" si="40"/>
        <v>14285</v>
      </c>
      <c r="H136" s="49">
        <f t="shared" si="40"/>
        <v>308440</v>
      </c>
      <c r="I136" s="49">
        <f t="shared" si="40"/>
        <v>695520</v>
      </c>
      <c r="J136" s="49">
        <f t="shared" si="40"/>
        <v>1235400</v>
      </c>
      <c r="K136" s="49">
        <f t="shared" si="40"/>
        <v>1434640</v>
      </c>
    </row>
    <row r="137" spans="1:18" ht="14.5" hidden="1" outlineLevel="1" thickBot="1" x14ac:dyDescent="0.35">
      <c r="A137" s="67" t="s">
        <v>71</v>
      </c>
      <c r="B137" s="67"/>
      <c r="C137" s="67"/>
      <c r="D137" s="67"/>
      <c r="E137" s="66">
        <f>+E134-E136</f>
        <v>-2573040</v>
      </c>
      <c r="F137" s="66">
        <f t="shared" ref="F137:K137" si="41">+F134-F136</f>
        <v>-1340320</v>
      </c>
      <c r="G137" s="66">
        <f t="shared" si="41"/>
        <v>42855</v>
      </c>
      <c r="H137" s="66">
        <f t="shared" si="41"/>
        <v>925320</v>
      </c>
      <c r="I137" s="66">
        <f t="shared" si="41"/>
        <v>2086560</v>
      </c>
      <c r="J137" s="66">
        <f t="shared" si="41"/>
        <v>3706200</v>
      </c>
      <c r="K137" s="66">
        <f t="shared" si="41"/>
        <v>4303920</v>
      </c>
    </row>
    <row r="138" spans="1:18" ht="14.5" hidden="1" outlineLevel="1" thickTop="1" x14ac:dyDescent="0.3"/>
    <row r="139" spans="1:18" ht="14.5" hidden="1" outlineLevel="1" thickBot="1" x14ac:dyDescent="0.35">
      <c r="A139" s="67" t="s">
        <v>49</v>
      </c>
      <c r="B139" s="67"/>
      <c r="C139" s="67"/>
      <c r="D139" s="67"/>
      <c r="E139" s="66">
        <f>+E101</f>
        <v>0</v>
      </c>
      <c r="F139" s="66">
        <f t="shared" ref="F139:K139" si="42">+F101</f>
        <v>0</v>
      </c>
      <c r="G139" s="66">
        <f t="shared" si="42"/>
        <v>0</v>
      </c>
      <c r="H139" s="66">
        <f t="shared" si="42"/>
        <v>0</v>
      </c>
      <c r="I139" s="66">
        <f t="shared" si="42"/>
        <v>0</v>
      </c>
      <c r="J139" s="66">
        <f t="shared" si="42"/>
        <v>0</v>
      </c>
      <c r="K139" s="66">
        <f t="shared" si="42"/>
        <v>0</v>
      </c>
    </row>
    <row r="140" spans="1:18" ht="14.5" hidden="1" outlineLevel="1" thickTop="1" x14ac:dyDescent="0.3"/>
    <row r="141" spans="1:18" collapsed="1" x14ac:dyDescent="0.3"/>
    <row r="142" spans="1:18" s="14" customFormat="1" ht="19" customHeight="1" x14ac:dyDescent="0.35">
      <c r="A142" s="31" t="s">
        <v>72</v>
      </c>
      <c r="B142" s="32"/>
      <c r="C142" s="32"/>
      <c r="D142" s="33"/>
      <c r="E142" s="33"/>
      <c r="F142" s="33"/>
      <c r="G142" s="34"/>
      <c r="H142" s="34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1:18" hidden="1" outlineLevel="1" x14ac:dyDescent="0.3"/>
    <row r="144" spans="1:18" hidden="1" outlineLevel="1" x14ac:dyDescent="0.3">
      <c r="A144" s="64" t="s">
        <v>73</v>
      </c>
      <c r="E144" s="10"/>
      <c r="F144" s="10"/>
      <c r="G144" s="10"/>
      <c r="H144" s="10"/>
      <c r="I144" s="10"/>
      <c r="J144" s="10"/>
      <c r="K144" s="10"/>
    </row>
    <row r="145" spans="1:11" hidden="1" outlineLevel="1" x14ac:dyDescent="0.3">
      <c r="A145" s="88" t="s">
        <v>74</v>
      </c>
      <c r="B145" s="57"/>
      <c r="C145" s="57"/>
      <c r="D145" s="57"/>
    </row>
    <row r="146" spans="1:11" hidden="1" outlineLevel="1" x14ac:dyDescent="0.3">
      <c r="A146" s="54" t="s">
        <v>75</v>
      </c>
      <c r="B146" s="55"/>
      <c r="C146" s="55"/>
      <c r="D146" s="55"/>
      <c r="E146" s="49">
        <f>E195</f>
        <v>1954646.0273972605</v>
      </c>
      <c r="F146" s="49">
        <f t="shared" ref="F146:K146" si="43">F195</f>
        <v>344792.32876712363</v>
      </c>
      <c r="G146" s="49">
        <f t="shared" si="43"/>
        <v>-7006.6438356160652</v>
      </c>
      <c r="H146" s="49">
        <f t="shared" si="43"/>
        <v>-113883.08219178044</v>
      </c>
      <c r="I146" s="49">
        <f t="shared" si="43"/>
        <v>1448738.2876712333</v>
      </c>
      <c r="J146" s="49">
        <f t="shared" si="43"/>
        <v>3668314.7260273974</v>
      </c>
      <c r="K146" s="49">
        <f t="shared" si="43"/>
        <v>7325122.9452054789</v>
      </c>
    </row>
    <row r="147" spans="1:11" hidden="1" outlineLevel="1" x14ac:dyDescent="0.3">
      <c r="A147" s="54" t="s">
        <v>76</v>
      </c>
      <c r="B147" s="55"/>
      <c r="C147" s="55"/>
      <c r="D147" s="55"/>
      <c r="E147" s="49">
        <f t="shared" ref="E147" si="44">E112*E81/$D$83</f>
        <v>52528.767123287675</v>
      </c>
      <c r="F147" s="49">
        <f t="shared" ref="F147:K147" si="45">F112*F81/$D$83</f>
        <v>75984.65753424658</v>
      </c>
      <c r="G147" s="49">
        <f t="shared" si="45"/>
        <v>121006.8493150685</v>
      </c>
      <c r="H147" s="49">
        <f t="shared" si="45"/>
        <v>189379.72602739726</v>
      </c>
      <c r="I147" s="49">
        <f t="shared" si="45"/>
        <v>262356.16438356164</v>
      </c>
      <c r="J147" s="49">
        <f t="shared" si="45"/>
        <v>367719.45205479453</v>
      </c>
      <c r="K147" s="49">
        <f t="shared" si="45"/>
        <v>436532.05479452055</v>
      </c>
    </row>
    <row r="148" spans="1:11" hidden="1" outlineLevel="1" x14ac:dyDescent="0.3">
      <c r="A148" s="54" t="s">
        <v>77</v>
      </c>
      <c r="B148" s="55"/>
      <c r="C148" s="55"/>
      <c r="D148" s="55"/>
      <c r="E148" s="49">
        <f t="shared" ref="E148" si="46">E114*E82/$D$83</f>
        <v>900493.15068493155</v>
      </c>
      <c r="F148" s="49">
        <f t="shared" ref="F148:K148" si="47">F114*F82/$D$83</f>
        <v>1055342.4657534247</v>
      </c>
      <c r="G148" s="49">
        <f t="shared" si="47"/>
        <v>1452082.1917808219</v>
      </c>
      <c r="H148" s="49">
        <f t="shared" si="47"/>
        <v>2185150.6849315069</v>
      </c>
      <c r="I148" s="49">
        <f t="shared" si="47"/>
        <v>2951506.8493150687</v>
      </c>
      <c r="J148" s="49">
        <f t="shared" si="47"/>
        <v>4035945.2054794519</v>
      </c>
      <c r="K148" s="49">
        <f t="shared" si="47"/>
        <v>4791205.4794520549</v>
      </c>
    </row>
    <row r="149" spans="1:11" ht="14.5" hidden="1" outlineLevel="1" thickBot="1" x14ac:dyDescent="0.35">
      <c r="A149" s="67" t="s">
        <v>66</v>
      </c>
      <c r="B149" s="67"/>
      <c r="C149" s="67"/>
      <c r="D149" s="67"/>
      <c r="E149" s="66">
        <f>SUM(E146:E148)</f>
        <v>2907667.9452054799</v>
      </c>
      <c r="F149" s="66">
        <f t="shared" ref="F149:K149" si="48">SUM(F146:F148)</f>
        <v>1476119.4520547949</v>
      </c>
      <c r="G149" s="66">
        <f t="shared" si="48"/>
        <v>1566082.3972602743</v>
      </c>
      <c r="H149" s="66">
        <f t="shared" si="48"/>
        <v>2260647.3287671236</v>
      </c>
      <c r="I149" s="66">
        <f t="shared" si="48"/>
        <v>4662601.3013698636</v>
      </c>
      <c r="J149" s="66">
        <f t="shared" si="48"/>
        <v>8071979.3835616438</v>
      </c>
      <c r="K149" s="66">
        <f t="shared" si="48"/>
        <v>12552860.479452055</v>
      </c>
    </row>
    <row r="150" spans="1:11" ht="14.5" hidden="1" outlineLevel="1" thickTop="1" x14ac:dyDescent="0.3">
      <c r="A150" s="54" t="s">
        <v>98</v>
      </c>
      <c r="B150" s="55"/>
      <c r="C150" s="55"/>
      <c r="D150" s="55"/>
      <c r="E150" s="49">
        <f>E241</f>
        <v>240000</v>
      </c>
      <c r="F150" s="49">
        <f t="shared" ref="F150:K150" si="49">F241</f>
        <v>220000</v>
      </c>
      <c r="G150" s="49">
        <f t="shared" si="49"/>
        <v>190000</v>
      </c>
      <c r="H150" s="49">
        <f t="shared" si="49"/>
        <v>510000</v>
      </c>
      <c r="I150" s="49">
        <f t="shared" si="49"/>
        <v>370000</v>
      </c>
      <c r="J150" s="49">
        <f t="shared" si="49"/>
        <v>1040000</v>
      </c>
      <c r="K150" s="49">
        <f t="shared" si="49"/>
        <v>800000</v>
      </c>
    </row>
    <row r="151" spans="1:11" hidden="1" outlineLevel="1" x14ac:dyDescent="0.3">
      <c r="A151" s="54" t="s">
        <v>78</v>
      </c>
      <c r="B151" s="55"/>
      <c r="C151" s="55"/>
      <c r="D151" s="55"/>
      <c r="E151" s="49">
        <f>E242</f>
        <v>160000</v>
      </c>
      <c r="F151" s="49">
        <f t="shared" ref="F151:K151" si="50">F242</f>
        <v>160000</v>
      </c>
      <c r="G151" s="49">
        <f t="shared" si="50"/>
        <v>150000</v>
      </c>
      <c r="H151" s="49">
        <f t="shared" si="50"/>
        <v>130000</v>
      </c>
      <c r="I151" s="49">
        <f t="shared" si="50"/>
        <v>220000</v>
      </c>
      <c r="J151" s="49">
        <f t="shared" si="50"/>
        <v>230000</v>
      </c>
      <c r="K151" s="49">
        <f t="shared" si="50"/>
        <v>550000</v>
      </c>
    </row>
    <row r="152" spans="1:11" ht="14.5" hidden="1" outlineLevel="1" thickBot="1" x14ac:dyDescent="0.35">
      <c r="A152" s="67" t="s">
        <v>139</v>
      </c>
      <c r="B152" s="67"/>
      <c r="C152" s="67"/>
      <c r="D152" s="67"/>
      <c r="E152" s="66">
        <f>SUM(E149:E151)</f>
        <v>3307667.9452054799</v>
      </c>
      <c r="F152" s="66">
        <f t="shared" ref="F152:K152" si="51">SUM(F149:F151)</f>
        <v>1856119.4520547949</v>
      </c>
      <c r="G152" s="66">
        <f t="shared" si="51"/>
        <v>1906082.3972602743</v>
      </c>
      <c r="H152" s="66">
        <f t="shared" si="51"/>
        <v>2900647.3287671236</v>
      </c>
      <c r="I152" s="66">
        <f t="shared" si="51"/>
        <v>5252601.3013698636</v>
      </c>
      <c r="J152" s="66">
        <f t="shared" si="51"/>
        <v>9341979.3835616447</v>
      </c>
      <c r="K152" s="66">
        <f t="shared" si="51"/>
        <v>13902860.479452055</v>
      </c>
    </row>
    <row r="153" spans="1:11" ht="14.5" hidden="1" outlineLevel="1" thickTop="1" x14ac:dyDescent="0.3">
      <c r="A153" s="64" t="s">
        <v>79</v>
      </c>
    </row>
    <row r="154" spans="1:11" hidden="1" outlineLevel="1" x14ac:dyDescent="0.3">
      <c r="A154" s="4" t="s">
        <v>38</v>
      </c>
    </row>
    <row r="155" spans="1:11" hidden="1" outlineLevel="1" x14ac:dyDescent="0.3">
      <c r="A155" s="88" t="s">
        <v>74</v>
      </c>
      <c r="B155" s="57"/>
      <c r="C155" s="57"/>
      <c r="D155" s="57"/>
    </row>
    <row r="156" spans="1:11" hidden="1" outlineLevel="1" x14ac:dyDescent="0.3">
      <c r="A156" s="54" t="s">
        <v>148</v>
      </c>
      <c r="B156" s="55"/>
      <c r="C156" s="55"/>
      <c r="D156" s="55"/>
      <c r="E156" s="49"/>
      <c r="F156" s="49"/>
      <c r="G156" s="49"/>
      <c r="H156" s="49"/>
      <c r="I156" s="49"/>
      <c r="J156" s="49"/>
      <c r="K156" s="49"/>
    </row>
    <row r="157" spans="1:11" hidden="1" outlineLevel="1" x14ac:dyDescent="0.3">
      <c r="A157" s="54" t="s">
        <v>39</v>
      </c>
      <c r="B157" s="55"/>
      <c r="C157" s="55"/>
      <c r="D157" s="55"/>
      <c r="E157" s="49">
        <f t="shared" ref="E157" si="52">(E121+E114)*E86/$D$83</f>
        <v>880707.94520547939</v>
      </c>
      <c r="F157" s="49">
        <f t="shared" ref="F157:K157" si="53">(F121+F114)*F86/$D$83</f>
        <v>769479.45205479453</v>
      </c>
      <c r="G157" s="49">
        <f t="shared" si="53"/>
        <v>776587.39726027392</v>
      </c>
      <c r="H157" s="49">
        <f t="shared" si="53"/>
        <v>845832.32876712328</v>
      </c>
      <c r="I157" s="49">
        <f t="shared" si="53"/>
        <v>1111226.3013698631</v>
      </c>
      <c r="J157" s="49">
        <f t="shared" si="53"/>
        <v>1494404.3835616438</v>
      </c>
      <c r="K157" s="49">
        <f t="shared" si="53"/>
        <v>1751365.4794520547</v>
      </c>
    </row>
    <row r="158" spans="1:11" ht="14.5" hidden="1" outlineLevel="1" thickBot="1" x14ac:dyDescent="0.35">
      <c r="A158" s="67" t="s">
        <v>66</v>
      </c>
      <c r="B158" s="67"/>
      <c r="C158" s="67"/>
      <c r="D158" s="67"/>
      <c r="E158" s="66">
        <f>SUM(E156:E157)</f>
        <v>880707.94520547939</v>
      </c>
      <c r="F158" s="66">
        <f t="shared" ref="F158:K158" si="54">SUM(F156:F157)</f>
        <v>769479.45205479453</v>
      </c>
      <c r="G158" s="66">
        <f t="shared" si="54"/>
        <v>776587.39726027392</v>
      </c>
      <c r="H158" s="66">
        <f t="shared" si="54"/>
        <v>845832.32876712328</v>
      </c>
      <c r="I158" s="66">
        <f t="shared" si="54"/>
        <v>1111226.3013698631</v>
      </c>
      <c r="J158" s="66">
        <f t="shared" si="54"/>
        <v>1494404.3835616438</v>
      </c>
      <c r="K158" s="66">
        <f t="shared" si="54"/>
        <v>1751365.4794520547</v>
      </c>
    </row>
    <row r="159" spans="1:11" ht="14.5" hidden="1" outlineLevel="1" thickTop="1" x14ac:dyDescent="0.3">
      <c r="A159" s="46" t="s">
        <v>140</v>
      </c>
      <c r="E159" s="1">
        <f>E249</f>
        <v>0</v>
      </c>
      <c r="F159" s="1">
        <f t="shared" ref="F159:K159" si="55">F249</f>
        <v>0</v>
      </c>
      <c r="G159" s="1">
        <f t="shared" si="55"/>
        <v>0</v>
      </c>
      <c r="H159" s="1">
        <f t="shared" si="55"/>
        <v>0</v>
      </c>
      <c r="I159" s="1">
        <f t="shared" si="55"/>
        <v>0</v>
      </c>
      <c r="J159" s="1">
        <f t="shared" si="55"/>
        <v>0</v>
      </c>
      <c r="K159" s="1">
        <f t="shared" si="55"/>
        <v>0</v>
      </c>
    </row>
    <row r="160" spans="1:11" ht="14.5" hidden="1" outlineLevel="1" thickBot="1" x14ac:dyDescent="0.35">
      <c r="A160" s="67" t="s">
        <v>141</v>
      </c>
      <c r="B160" s="67"/>
      <c r="C160" s="67"/>
      <c r="D160" s="67"/>
      <c r="E160" s="66">
        <f>SUM(E158:E159)</f>
        <v>880707.94520547939</v>
      </c>
      <c r="F160" s="66">
        <f t="shared" ref="F160:K160" si="56">SUM(F158:F159)</f>
        <v>769479.45205479453</v>
      </c>
      <c r="G160" s="66">
        <f t="shared" si="56"/>
        <v>776587.39726027392</v>
      </c>
      <c r="H160" s="66">
        <f t="shared" si="56"/>
        <v>845832.32876712328</v>
      </c>
      <c r="I160" s="66">
        <f t="shared" si="56"/>
        <v>1111226.3013698631</v>
      </c>
      <c r="J160" s="66">
        <f t="shared" si="56"/>
        <v>1494404.3835616438</v>
      </c>
      <c r="K160" s="66">
        <f t="shared" si="56"/>
        <v>1751365.4794520547</v>
      </c>
    </row>
    <row r="161" spans="1:18" ht="14.5" hidden="1" outlineLevel="1" thickTop="1" x14ac:dyDescent="0.3">
      <c r="A161" s="4" t="s">
        <v>149</v>
      </c>
    </row>
    <row r="162" spans="1:18" hidden="1" outlineLevel="1" x14ac:dyDescent="0.3">
      <c r="A162" s="54" t="s">
        <v>80</v>
      </c>
      <c r="B162" s="55"/>
      <c r="C162" s="55"/>
      <c r="D162" s="55"/>
      <c r="E162" s="49">
        <f>+D162+E100</f>
        <v>5000000</v>
      </c>
      <c r="F162" s="49">
        <f t="shared" ref="F162:K162" si="57">+E162+F100</f>
        <v>5000000</v>
      </c>
      <c r="G162" s="49">
        <f t="shared" si="57"/>
        <v>5000000</v>
      </c>
      <c r="H162" s="49">
        <f t="shared" si="57"/>
        <v>5000000</v>
      </c>
      <c r="I162" s="49">
        <f t="shared" si="57"/>
        <v>5000000</v>
      </c>
      <c r="J162" s="49">
        <f t="shared" si="57"/>
        <v>5000000</v>
      </c>
      <c r="K162" s="49">
        <f t="shared" si="57"/>
        <v>5000000</v>
      </c>
    </row>
    <row r="163" spans="1:18" hidden="1" outlineLevel="1" x14ac:dyDescent="0.3">
      <c r="A163" s="54" t="s">
        <v>81</v>
      </c>
      <c r="B163" s="55"/>
      <c r="C163" s="55"/>
      <c r="D163" s="55"/>
      <c r="E163" s="49">
        <f>+D163+E137-E139</f>
        <v>-2573040</v>
      </c>
      <c r="F163" s="49">
        <f t="shared" ref="F163:K163" si="58">+E163+F137-F139</f>
        <v>-3913360</v>
      </c>
      <c r="G163" s="49">
        <f t="shared" si="58"/>
        <v>-3870505</v>
      </c>
      <c r="H163" s="49">
        <f t="shared" si="58"/>
        <v>-2945185</v>
      </c>
      <c r="I163" s="49">
        <f t="shared" si="58"/>
        <v>-858625</v>
      </c>
      <c r="J163" s="49">
        <f t="shared" si="58"/>
        <v>2847575</v>
      </c>
      <c r="K163" s="49">
        <f t="shared" si="58"/>
        <v>7151495</v>
      </c>
    </row>
    <row r="164" spans="1:18" ht="14.5" hidden="1" outlineLevel="1" thickBot="1" x14ac:dyDescent="0.35">
      <c r="A164" s="67" t="s">
        <v>150</v>
      </c>
      <c r="B164" s="67"/>
      <c r="C164" s="67"/>
      <c r="D164" s="67"/>
      <c r="E164" s="66">
        <f>SUM(E162:E163)</f>
        <v>2426960</v>
      </c>
      <c r="F164" s="66">
        <f t="shared" ref="F164:K164" si="59">SUM(F162:F163)</f>
        <v>1086640</v>
      </c>
      <c r="G164" s="66">
        <f t="shared" si="59"/>
        <v>1129495</v>
      </c>
      <c r="H164" s="66">
        <f t="shared" si="59"/>
        <v>2054815</v>
      </c>
      <c r="I164" s="66">
        <f t="shared" si="59"/>
        <v>4141375</v>
      </c>
      <c r="J164" s="66">
        <f t="shared" si="59"/>
        <v>7847575</v>
      </c>
      <c r="K164" s="66">
        <f t="shared" si="59"/>
        <v>12151495</v>
      </c>
    </row>
    <row r="165" spans="1:18" ht="15" hidden="1" outlineLevel="1" thickTop="1" thickBot="1" x14ac:dyDescent="0.35">
      <c r="A165" s="67" t="s">
        <v>151</v>
      </c>
      <c r="B165" s="67"/>
      <c r="C165" s="67"/>
      <c r="D165" s="67"/>
      <c r="E165" s="66">
        <f>+E164+E160</f>
        <v>3307667.9452054794</v>
      </c>
      <c r="F165" s="66">
        <f t="shared" ref="F165:K165" si="60">+F164+F160</f>
        <v>1856119.4520547944</v>
      </c>
      <c r="G165" s="66">
        <f t="shared" si="60"/>
        <v>1906082.3972602738</v>
      </c>
      <c r="H165" s="66">
        <f t="shared" si="60"/>
        <v>2900647.3287671232</v>
      </c>
      <c r="I165" s="66">
        <f t="shared" si="60"/>
        <v>5252601.3013698626</v>
      </c>
      <c r="J165" s="66">
        <f t="shared" si="60"/>
        <v>9341979.3835616447</v>
      </c>
      <c r="K165" s="66">
        <f t="shared" si="60"/>
        <v>13902860.479452055</v>
      </c>
    </row>
    <row r="166" spans="1:18" ht="14.5" hidden="1" outlineLevel="1" thickTop="1" x14ac:dyDescent="0.3">
      <c r="A166" s="4"/>
      <c r="D166" s="4"/>
      <c r="E166" s="4"/>
      <c r="F166" s="4"/>
      <c r="G166" s="4"/>
      <c r="H166" s="4"/>
      <c r="I166" s="4"/>
      <c r="J166" s="4"/>
      <c r="K166" s="4"/>
    </row>
    <row r="167" spans="1:18" s="101" customFormat="1" hidden="1" outlineLevel="1" x14ac:dyDescent="0.3">
      <c r="A167" s="100" t="s">
        <v>133</v>
      </c>
      <c r="E167" s="102">
        <f>E165-E152</f>
        <v>0</v>
      </c>
      <c r="F167" s="102">
        <f t="shared" ref="F167:K167" si="61">F165-F152</f>
        <v>0</v>
      </c>
      <c r="G167" s="102">
        <f t="shared" si="61"/>
        <v>0</v>
      </c>
      <c r="H167" s="102">
        <f t="shared" si="61"/>
        <v>0</v>
      </c>
      <c r="I167" s="102">
        <f t="shared" si="61"/>
        <v>0</v>
      </c>
      <c r="J167" s="102">
        <f t="shared" si="61"/>
        <v>0</v>
      </c>
      <c r="K167" s="102">
        <f t="shared" si="61"/>
        <v>0</v>
      </c>
    </row>
    <row r="168" spans="1:18" collapsed="1" x14ac:dyDescent="0.3">
      <c r="A168" s="3"/>
    </row>
    <row r="169" spans="1:18" s="14" customFormat="1" ht="19" customHeight="1" x14ac:dyDescent="0.35">
      <c r="A169" s="31" t="s">
        <v>82</v>
      </c>
      <c r="B169" s="32"/>
      <c r="C169" s="32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1:18" hidden="1" outlineLevel="1" x14ac:dyDescent="0.3"/>
    <row r="171" spans="1:18" hidden="1" outlineLevel="1" x14ac:dyDescent="0.3">
      <c r="A171" s="64" t="s">
        <v>83</v>
      </c>
      <c r="E171" s="10"/>
      <c r="F171" s="10"/>
      <c r="G171" s="10"/>
      <c r="H171" s="10"/>
      <c r="I171" s="10"/>
      <c r="J171" s="10"/>
      <c r="K171" s="10"/>
    </row>
    <row r="172" spans="1:18" hidden="1" outlineLevel="1" x14ac:dyDescent="0.3">
      <c r="A172" s="54" t="s">
        <v>71</v>
      </c>
      <c r="B172" s="55"/>
      <c r="C172" s="55"/>
      <c r="D172" s="55"/>
      <c r="E172" s="49">
        <f>E137</f>
        <v>-2573040</v>
      </c>
      <c r="F172" s="49">
        <f t="shared" ref="F172:K172" si="62">F137</f>
        <v>-1340320</v>
      </c>
      <c r="G172" s="49">
        <f t="shared" si="62"/>
        <v>42855</v>
      </c>
      <c r="H172" s="49">
        <f t="shared" si="62"/>
        <v>925320</v>
      </c>
      <c r="I172" s="49">
        <f t="shared" si="62"/>
        <v>2086560</v>
      </c>
      <c r="J172" s="49">
        <f t="shared" si="62"/>
        <v>3706200</v>
      </c>
      <c r="K172" s="49">
        <f t="shared" si="62"/>
        <v>4303920</v>
      </c>
    </row>
    <row r="173" spans="1:18" hidden="1" outlineLevel="1" x14ac:dyDescent="0.3">
      <c r="A173" s="54" t="s">
        <v>42</v>
      </c>
      <c r="B173" s="55"/>
      <c r="C173" s="55"/>
      <c r="D173" s="55"/>
      <c r="E173" s="49">
        <f>E132</f>
        <v>100000</v>
      </c>
      <c r="F173" s="49">
        <f t="shared" ref="F173:K173" si="63">F132</f>
        <v>120000</v>
      </c>
      <c r="G173" s="49">
        <f t="shared" si="63"/>
        <v>140000</v>
      </c>
      <c r="H173" s="49">
        <f t="shared" si="63"/>
        <v>250000</v>
      </c>
      <c r="I173" s="49">
        <f t="shared" si="63"/>
        <v>300000</v>
      </c>
      <c r="J173" s="49">
        <f t="shared" si="63"/>
        <v>420000</v>
      </c>
      <c r="K173" s="49">
        <f t="shared" si="63"/>
        <v>520000</v>
      </c>
    </row>
    <row r="174" spans="1:18" hidden="1" outlineLevel="1" x14ac:dyDescent="0.3">
      <c r="A174" s="54" t="s">
        <v>92</v>
      </c>
      <c r="B174" s="55"/>
      <c r="C174" s="55"/>
      <c r="D174" s="55"/>
      <c r="E174" s="49"/>
      <c r="F174" s="49"/>
      <c r="G174" s="49"/>
      <c r="H174" s="49"/>
      <c r="I174" s="49"/>
      <c r="J174" s="49"/>
      <c r="K174" s="49"/>
    </row>
    <row r="175" spans="1:18" hidden="1" outlineLevel="1" x14ac:dyDescent="0.3">
      <c r="A175" s="54" t="s">
        <v>76</v>
      </c>
      <c r="B175" s="55"/>
      <c r="C175" s="55"/>
      <c r="D175" s="55"/>
      <c r="E175" s="49">
        <f>E147-D147</f>
        <v>52528.767123287675</v>
      </c>
      <c r="F175" s="49">
        <f t="shared" ref="F175:K175" si="64">F147-E147</f>
        <v>23455.890410958906</v>
      </c>
      <c r="G175" s="49">
        <f t="shared" si="64"/>
        <v>45022.191780821915</v>
      </c>
      <c r="H175" s="49">
        <f t="shared" si="64"/>
        <v>68372.876712328769</v>
      </c>
      <c r="I175" s="49">
        <f t="shared" si="64"/>
        <v>72976.438356164377</v>
      </c>
      <c r="J175" s="49">
        <f t="shared" si="64"/>
        <v>105363.28767123289</v>
      </c>
      <c r="K175" s="49">
        <f t="shared" si="64"/>
        <v>68812.602739726019</v>
      </c>
    </row>
    <row r="176" spans="1:18" hidden="1" outlineLevel="1" x14ac:dyDescent="0.3">
      <c r="A176" s="54" t="s">
        <v>77</v>
      </c>
      <c r="B176" s="55"/>
      <c r="C176" s="55"/>
      <c r="D176" s="55"/>
      <c r="E176" s="49">
        <f>E148-D148</f>
        <v>900493.15068493155</v>
      </c>
      <c r="F176" s="49">
        <f t="shared" ref="F176:K176" si="65">F148-E148</f>
        <v>154849.31506849313</v>
      </c>
      <c r="G176" s="49">
        <f t="shared" si="65"/>
        <v>396739.72602739721</v>
      </c>
      <c r="H176" s="49">
        <f t="shared" si="65"/>
        <v>733068.49315068498</v>
      </c>
      <c r="I176" s="49">
        <f t="shared" si="65"/>
        <v>766356.16438356182</v>
      </c>
      <c r="J176" s="49">
        <f t="shared" si="65"/>
        <v>1084438.3561643832</v>
      </c>
      <c r="K176" s="49">
        <f t="shared" si="65"/>
        <v>755260.27397260303</v>
      </c>
    </row>
    <row r="177" spans="1:11" hidden="1" outlineLevel="1" x14ac:dyDescent="0.3">
      <c r="A177" s="54" t="s">
        <v>39</v>
      </c>
      <c r="B177" s="55"/>
      <c r="C177" s="55"/>
      <c r="D177" s="55"/>
      <c r="E177" s="49">
        <f>E157-D157</f>
        <v>880707.94520547939</v>
      </c>
      <c r="F177" s="49">
        <f t="shared" ref="F177:K177" si="66">F157-E157</f>
        <v>-111228.49315068487</v>
      </c>
      <c r="G177" s="49">
        <f t="shared" si="66"/>
        <v>7107.9452054793946</v>
      </c>
      <c r="H177" s="49">
        <f t="shared" si="66"/>
        <v>69244.93150684936</v>
      </c>
      <c r="I177" s="49">
        <f t="shared" si="66"/>
        <v>265393.97260273981</v>
      </c>
      <c r="J177" s="49">
        <f t="shared" si="66"/>
        <v>383178.08219178068</v>
      </c>
      <c r="K177" s="49">
        <f t="shared" si="66"/>
        <v>256961.09589041094</v>
      </c>
    </row>
    <row r="178" spans="1:11" ht="14.5" hidden="1" outlineLevel="1" thickBot="1" x14ac:dyDescent="0.35">
      <c r="A178" s="67" t="s">
        <v>66</v>
      </c>
      <c r="B178" s="67"/>
      <c r="C178" s="67"/>
      <c r="D178" s="67"/>
      <c r="E178" s="66">
        <f>E172+E173-E175-E176+E177</f>
        <v>-2545353.9726027395</v>
      </c>
      <c r="F178" s="66">
        <f t="shared" ref="F178:K178" si="67">F172+F173-F175-F176+F177</f>
        <v>-1509853.6986301369</v>
      </c>
      <c r="G178" s="66">
        <f t="shared" si="67"/>
        <v>-251798.97260273973</v>
      </c>
      <c r="H178" s="66">
        <f t="shared" si="67"/>
        <v>443123.56164383562</v>
      </c>
      <c r="I178" s="66">
        <f t="shared" si="67"/>
        <v>1812621.3698630137</v>
      </c>
      <c r="J178" s="66">
        <f t="shared" si="67"/>
        <v>3319576.4383561644</v>
      </c>
      <c r="K178" s="66">
        <f t="shared" si="67"/>
        <v>4256808.2191780815</v>
      </c>
    </row>
    <row r="179" spans="1:11" ht="14.5" hidden="1" outlineLevel="1" thickTop="1" x14ac:dyDescent="0.3"/>
    <row r="180" spans="1:11" hidden="1" outlineLevel="1" x14ac:dyDescent="0.3">
      <c r="A180" s="64" t="s">
        <v>84</v>
      </c>
      <c r="E180" s="10"/>
      <c r="F180" s="10"/>
      <c r="G180" s="10"/>
      <c r="H180" s="10"/>
      <c r="I180" s="10"/>
      <c r="J180" s="10"/>
      <c r="K180" s="10"/>
    </row>
    <row r="181" spans="1:11" hidden="1" outlineLevel="1" x14ac:dyDescent="0.3">
      <c r="A181" s="54" t="s">
        <v>41</v>
      </c>
      <c r="B181" s="55"/>
      <c r="C181" s="55"/>
      <c r="D181" s="55"/>
      <c r="E181" s="49">
        <f>E210</f>
        <v>500000</v>
      </c>
      <c r="F181" s="49">
        <f t="shared" ref="F181:K181" si="68">F210</f>
        <v>100000</v>
      </c>
      <c r="G181" s="49">
        <f t="shared" si="68"/>
        <v>100000</v>
      </c>
      <c r="H181" s="49">
        <f t="shared" si="68"/>
        <v>550000</v>
      </c>
      <c r="I181" s="49">
        <f t="shared" si="68"/>
        <v>250000</v>
      </c>
      <c r="J181" s="49">
        <f t="shared" si="68"/>
        <v>1100000</v>
      </c>
      <c r="K181" s="49">
        <f t="shared" si="68"/>
        <v>600000</v>
      </c>
    </row>
    <row r="182" spans="1:11" hidden="1" outlineLevel="1" x14ac:dyDescent="0.3">
      <c r="A182" s="54" t="s">
        <v>85</v>
      </c>
      <c r="B182" s="55"/>
      <c r="C182" s="55"/>
      <c r="D182" s="55"/>
      <c r="E182" s="49">
        <f>E91</f>
        <v>0</v>
      </c>
      <c r="F182" s="49">
        <f t="shared" ref="F182:K182" si="69">F91</f>
        <v>0</v>
      </c>
      <c r="G182" s="49">
        <f t="shared" si="69"/>
        <v>0</v>
      </c>
      <c r="H182" s="49">
        <f t="shared" si="69"/>
        <v>0</v>
      </c>
      <c r="I182" s="49">
        <f t="shared" si="69"/>
        <v>0</v>
      </c>
      <c r="J182" s="49">
        <f t="shared" si="69"/>
        <v>0</v>
      </c>
      <c r="K182" s="49">
        <f t="shared" si="69"/>
        <v>0</v>
      </c>
    </row>
    <row r="183" spans="1:11" ht="14.5" hidden="1" outlineLevel="1" thickBot="1" x14ac:dyDescent="0.35">
      <c r="A183" s="67" t="s">
        <v>66</v>
      </c>
      <c r="B183" s="67"/>
      <c r="C183" s="67"/>
      <c r="D183" s="67"/>
      <c r="E183" s="66">
        <f>SUM(E181:E182)</f>
        <v>500000</v>
      </c>
      <c r="F183" s="66">
        <f t="shared" ref="F183:K183" si="70">SUM(F181:F182)</f>
        <v>100000</v>
      </c>
      <c r="G183" s="66">
        <f t="shared" si="70"/>
        <v>100000</v>
      </c>
      <c r="H183" s="66">
        <f t="shared" si="70"/>
        <v>550000</v>
      </c>
      <c r="I183" s="66">
        <f t="shared" si="70"/>
        <v>250000</v>
      </c>
      <c r="J183" s="66">
        <f t="shared" si="70"/>
        <v>1100000</v>
      </c>
      <c r="K183" s="66">
        <f t="shared" si="70"/>
        <v>600000</v>
      </c>
    </row>
    <row r="184" spans="1:11" ht="14.5" hidden="1" outlineLevel="1" thickTop="1" x14ac:dyDescent="0.3"/>
    <row r="185" spans="1:11" hidden="1" outlineLevel="1" x14ac:dyDescent="0.3">
      <c r="A185" s="64" t="s">
        <v>86</v>
      </c>
      <c r="E185" s="10"/>
      <c r="F185" s="10"/>
      <c r="G185" s="10"/>
      <c r="H185" s="10"/>
      <c r="I185" s="10"/>
      <c r="J185" s="10"/>
      <c r="K185" s="10"/>
    </row>
    <row r="186" spans="1:11" hidden="1" outlineLevel="1" x14ac:dyDescent="0.3">
      <c r="A186" s="54" t="s">
        <v>152</v>
      </c>
      <c r="B186" s="55"/>
      <c r="C186" s="55"/>
      <c r="D186" s="55"/>
      <c r="E186" s="49">
        <f>E159-D159</f>
        <v>0</v>
      </c>
      <c r="F186" s="49">
        <f t="shared" ref="F186:K186" si="71">F159-E159</f>
        <v>0</v>
      </c>
      <c r="G186" s="49">
        <f t="shared" si="71"/>
        <v>0</v>
      </c>
      <c r="H186" s="49">
        <f t="shared" si="71"/>
        <v>0</v>
      </c>
      <c r="I186" s="49">
        <f t="shared" si="71"/>
        <v>0</v>
      </c>
      <c r="J186" s="49">
        <f t="shared" si="71"/>
        <v>0</v>
      </c>
      <c r="K186" s="49">
        <f t="shared" si="71"/>
        <v>0</v>
      </c>
    </row>
    <row r="187" spans="1:11" hidden="1" outlineLevel="1" x14ac:dyDescent="0.3">
      <c r="A187" s="54" t="s">
        <v>87</v>
      </c>
      <c r="B187" s="55"/>
      <c r="C187" s="55"/>
      <c r="D187" s="55"/>
      <c r="E187" s="49">
        <f>E162-D162</f>
        <v>5000000</v>
      </c>
      <c r="F187" s="49">
        <f t="shared" ref="F187:K187" si="72">F162-E162</f>
        <v>0</v>
      </c>
      <c r="G187" s="49">
        <f t="shared" si="72"/>
        <v>0</v>
      </c>
      <c r="H187" s="49">
        <f t="shared" si="72"/>
        <v>0</v>
      </c>
      <c r="I187" s="49">
        <f t="shared" si="72"/>
        <v>0</v>
      </c>
      <c r="J187" s="49">
        <f t="shared" si="72"/>
        <v>0</v>
      </c>
      <c r="K187" s="49">
        <f t="shared" si="72"/>
        <v>0</v>
      </c>
    </row>
    <row r="188" spans="1:11" hidden="1" outlineLevel="1" x14ac:dyDescent="0.3">
      <c r="A188" s="54" t="s">
        <v>49</v>
      </c>
      <c r="B188" s="55"/>
      <c r="C188" s="55"/>
      <c r="D188" s="55"/>
      <c r="E188" s="49">
        <f>E139</f>
        <v>0</v>
      </c>
      <c r="F188" s="49">
        <f t="shared" ref="F188:K188" si="73">F139</f>
        <v>0</v>
      </c>
      <c r="G188" s="49">
        <f t="shared" si="73"/>
        <v>0</v>
      </c>
      <c r="H188" s="49">
        <f t="shared" si="73"/>
        <v>0</v>
      </c>
      <c r="I188" s="49">
        <f t="shared" si="73"/>
        <v>0</v>
      </c>
      <c r="J188" s="49">
        <f t="shared" si="73"/>
        <v>0</v>
      </c>
      <c r="K188" s="49">
        <f t="shared" si="73"/>
        <v>0</v>
      </c>
    </row>
    <row r="189" spans="1:11" ht="14.5" hidden="1" outlineLevel="1" thickBot="1" x14ac:dyDescent="0.35">
      <c r="A189" s="67" t="s">
        <v>66</v>
      </c>
      <c r="B189" s="67"/>
      <c r="C189" s="67"/>
      <c r="D189" s="67"/>
      <c r="E189" s="66">
        <f>E186+E187-E188</f>
        <v>5000000</v>
      </c>
      <c r="F189" s="66">
        <f t="shared" ref="F189:K189" si="74">F186+F187-F188</f>
        <v>0</v>
      </c>
      <c r="G189" s="66">
        <f t="shared" si="74"/>
        <v>0</v>
      </c>
      <c r="H189" s="66">
        <f t="shared" si="74"/>
        <v>0</v>
      </c>
      <c r="I189" s="66">
        <f t="shared" si="74"/>
        <v>0</v>
      </c>
      <c r="J189" s="66">
        <f t="shared" si="74"/>
        <v>0</v>
      </c>
      <c r="K189" s="66">
        <f t="shared" si="74"/>
        <v>0</v>
      </c>
    </row>
    <row r="190" spans="1:11" ht="14.5" hidden="1" outlineLevel="1" thickTop="1" x14ac:dyDescent="0.3"/>
    <row r="191" spans="1:11" ht="14.5" hidden="1" outlineLevel="1" thickBot="1" x14ac:dyDescent="0.35">
      <c r="A191" s="67" t="s">
        <v>88</v>
      </c>
      <c r="B191" s="67"/>
      <c r="C191" s="67"/>
      <c r="D191" s="67"/>
      <c r="E191" s="66">
        <f>E178-E183+E189</f>
        <v>1954646.0273972605</v>
      </c>
      <c r="F191" s="66">
        <f t="shared" ref="F191:K191" si="75">F178-F183+F189</f>
        <v>-1609853.6986301369</v>
      </c>
      <c r="G191" s="66">
        <f t="shared" si="75"/>
        <v>-351798.9726027397</v>
      </c>
      <c r="H191" s="66">
        <f t="shared" si="75"/>
        <v>-106876.43835616438</v>
      </c>
      <c r="I191" s="66">
        <f t="shared" si="75"/>
        <v>1562621.3698630137</v>
      </c>
      <c r="J191" s="66">
        <f t="shared" si="75"/>
        <v>2219576.4383561644</v>
      </c>
      <c r="K191" s="66">
        <f t="shared" si="75"/>
        <v>3656808.2191780815</v>
      </c>
    </row>
    <row r="192" spans="1:11" ht="14.5" hidden="1" outlineLevel="1" thickTop="1" x14ac:dyDescent="0.3"/>
    <row r="193" spans="1:18" ht="14.5" hidden="1" outlineLevel="1" thickBot="1" x14ac:dyDescent="0.35">
      <c r="A193" s="67" t="s">
        <v>89</v>
      </c>
      <c r="B193" s="67"/>
      <c r="C193" s="67"/>
      <c r="D193" s="67"/>
      <c r="E193" s="66">
        <f>D195</f>
        <v>0</v>
      </c>
      <c r="F193" s="66">
        <f t="shared" ref="F193:K193" si="76">E195</f>
        <v>1954646.0273972605</v>
      </c>
      <c r="G193" s="66">
        <f t="shared" si="76"/>
        <v>344792.32876712363</v>
      </c>
      <c r="H193" s="66">
        <f t="shared" si="76"/>
        <v>-7006.6438356160652</v>
      </c>
      <c r="I193" s="66">
        <f t="shared" si="76"/>
        <v>-113883.08219178044</v>
      </c>
      <c r="J193" s="66">
        <f t="shared" si="76"/>
        <v>1448738.2876712333</v>
      </c>
      <c r="K193" s="66">
        <f t="shared" si="76"/>
        <v>3668314.7260273974</v>
      </c>
    </row>
    <row r="194" spans="1:18" ht="15" hidden="1" outlineLevel="1" thickTop="1" thickBot="1" x14ac:dyDescent="0.35">
      <c r="A194" s="67" t="s">
        <v>90</v>
      </c>
      <c r="B194" s="67"/>
      <c r="C194" s="67"/>
      <c r="D194" s="67"/>
      <c r="E194" s="66">
        <f>+E191</f>
        <v>1954646.0273972605</v>
      </c>
      <c r="F194" s="66">
        <f t="shared" ref="F194:K194" si="77">+F191</f>
        <v>-1609853.6986301369</v>
      </c>
      <c r="G194" s="66">
        <f t="shared" si="77"/>
        <v>-351798.9726027397</v>
      </c>
      <c r="H194" s="66">
        <f t="shared" si="77"/>
        <v>-106876.43835616438</v>
      </c>
      <c r="I194" s="66">
        <f t="shared" si="77"/>
        <v>1562621.3698630137</v>
      </c>
      <c r="J194" s="66">
        <f t="shared" si="77"/>
        <v>2219576.4383561644</v>
      </c>
      <c r="K194" s="66">
        <f t="shared" si="77"/>
        <v>3656808.2191780815</v>
      </c>
    </row>
    <row r="195" spans="1:18" ht="15" hidden="1" outlineLevel="1" thickTop="1" thickBot="1" x14ac:dyDescent="0.35">
      <c r="A195" s="67" t="s">
        <v>91</v>
      </c>
      <c r="B195" s="67"/>
      <c r="C195" s="67"/>
      <c r="D195" s="67"/>
      <c r="E195" s="66">
        <f>SUM(E193:E194)</f>
        <v>1954646.0273972605</v>
      </c>
      <c r="F195" s="66">
        <f t="shared" ref="F195:K195" si="78">SUM(F193:F194)</f>
        <v>344792.32876712363</v>
      </c>
      <c r="G195" s="66">
        <f t="shared" si="78"/>
        <v>-7006.6438356160652</v>
      </c>
      <c r="H195" s="66">
        <f t="shared" si="78"/>
        <v>-113883.08219178044</v>
      </c>
      <c r="I195" s="66">
        <f t="shared" si="78"/>
        <v>1448738.2876712333</v>
      </c>
      <c r="J195" s="66">
        <f t="shared" si="78"/>
        <v>3668314.7260273974</v>
      </c>
      <c r="K195" s="66">
        <f t="shared" si="78"/>
        <v>7325122.9452054789</v>
      </c>
    </row>
    <row r="196" spans="1:18" ht="14.5" hidden="1" outlineLevel="1" thickTop="1" x14ac:dyDescent="0.3"/>
    <row r="197" spans="1:18" collapsed="1" x14ac:dyDescent="0.3"/>
    <row r="198" spans="1:18" s="14" customFormat="1" ht="19" customHeight="1" x14ac:dyDescent="0.35">
      <c r="A198" s="31" t="s">
        <v>96</v>
      </c>
      <c r="B198" s="32"/>
      <c r="C198" s="32"/>
      <c r="D198" s="33"/>
      <c r="E198" s="33"/>
      <c r="F198" s="33"/>
      <c r="G198" s="33"/>
      <c r="H198" s="33"/>
      <c r="I198" s="34"/>
      <c r="J198" s="34"/>
      <c r="K198" s="33"/>
      <c r="L198" s="33"/>
      <c r="M198" s="33"/>
      <c r="N198" s="33"/>
      <c r="O198" s="33"/>
      <c r="P198" s="33"/>
      <c r="Q198" s="33"/>
      <c r="R198" s="33"/>
    </row>
    <row r="199" spans="1:18" hidden="1" outlineLevel="1" x14ac:dyDescent="0.3"/>
    <row r="200" spans="1:18" hidden="1" outlineLevel="1" x14ac:dyDescent="0.3">
      <c r="A200" s="64" t="s">
        <v>97</v>
      </c>
      <c r="E200" s="10"/>
      <c r="F200" s="10"/>
      <c r="G200" s="10"/>
      <c r="H200" s="10"/>
      <c r="I200" s="10"/>
      <c r="J200" s="10"/>
      <c r="K200" s="10"/>
    </row>
    <row r="201" spans="1:18" hidden="1" outlineLevel="1" x14ac:dyDescent="0.3">
      <c r="A201" s="4"/>
      <c r="E201" s="10"/>
      <c r="F201" s="10"/>
      <c r="G201" s="10"/>
      <c r="H201" s="10"/>
      <c r="I201" s="10"/>
      <c r="J201" s="10"/>
      <c r="K201" s="10"/>
    </row>
    <row r="202" spans="1:18" hidden="1" outlineLevel="1" x14ac:dyDescent="0.3">
      <c r="A202" s="4" t="s">
        <v>99</v>
      </c>
    </row>
    <row r="203" spans="1:18" hidden="1" outlineLevel="1" x14ac:dyDescent="0.3">
      <c r="A203" s="54" t="s">
        <v>98</v>
      </c>
      <c r="B203" s="55"/>
      <c r="C203" s="55"/>
      <c r="D203" s="55"/>
      <c r="E203" s="49">
        <f>D241</f>
        <v>0</v>
      </c>
      <c r="F203" s="49">
        <f t="shared" ref="F203:K204" si="79">E241</f>
        <v>240000</v>
      </c>
      <c r="G203" s="49">
        <f t="shared" si="79"/>
        <v>220000</v>
      </c>
      <c r="H203" s="49">
        <f t="shared" si="79"/>
        <v>190000</v>
      </c>
      <c r="I203" s="49">
        <f t="shared" si="79"/>
        <v>510000</v>
      </c>
      <c r="J203" s="49">
        <f t="shared" si="79"/>
        <v>370000</v>
      </c>
      <c r="K203" s="49">
        <f t="shared" si="79"/>
        <v>1040000</v>
      </c>
    </row>
    <row r="204" spans="1:18" hidden="1" outlineLevel="1" x14ac:dyDescent="0.3">
      <c r="A204" s="54" t="s">
        <v>78</v>
      </c>
      <c r="B204" s="55"/>
      <c r="C204" s="55"/>
      <c r="D204" s="55"/>
      <c r="E204" s="49">
        <f>D242</f>
        <v>0</v>
      </c>
      <c r="F204" s="49">
        <f t="shared" si="79"/>
        <v>160000</v>
      </c>
      <c r="G204" s="49">
        <f t="shared" si="79"/>
        <v>160000</v>
      </c>
      <c r="H204" s="49">
        <f t="shared" si="79"/>
        <v>150000</v>
      </c>
      <c r="I204" s="49">
        <f t="shared" si="79"/>
        <v>130000</v>
      </c>
      <c r="J204" s="49">
        <f t="shared" si="79"/>
        <v>220000</v>
      </c>
      <c r="K204" s="49">
        <f t="shared" si="79"/>
        <v>230000</v>
      </c>
    </row>
    <row r="205" spans="1:18" ht="14.5" hidden="1" outlineLevel="1" thickBot="1" x14ac:dyDescent="0.35">
      <c r="A205" s="67" t="s">
        <v>66</v>
      </c>
      <c r="B205" s="67"/>
      <c r="C205" s="67"/>
      <c r="D205" s="67"/>
      <c r="E205" s="66">
        <f>SUM(E203:E204)</f>
        <v>0</v>
      </c>
      <c r="F205" s="66">
        <f t="shared" ref="F205:K205" si="80">SUM(F203:F204)</f>
        <v>400000</v>
      </c>
      <c r="G205" s="66">
        <f t="shared" si="80"/>
        <v>380000</v>
      </c>
      <c r="H205" s="66">
        <f t="shared" si="80"/>
        <v>340000</v>
      </c>
      <c r="I205" s="66">
        <f t="shared" si="80"/>
        <v>640000</v>
      </c>
      <c r="J205" s="66">
        <f t="shared" si="80"/>
        <v>590000</v>
      </c>
      <c r="K205" s="66">
        <f t="shared" si="80"/>
        <v>1270000</v>
      </c>
    </row>
    <row r="206" spans="1:18" ht="14.5" hidden="1" outlineLevel="1" thickTop="1" x14ac:dyDescent="0.3"/>
    <row r="207" spans="1:18" hidden="1" outlineLevel="1" x14ac:dyDescent="0.3">
      <c r="A207" s="4" t="s">
        <v>100</v>
      </c>
    </row>
    <row r="208" spans="1:18" hidden="1" outlineLevel="1" x14ac:dyDescent="0.3">
      <c r="A208" s="54" t="s">
        <v>98</v>
      </c>
      <c r="B208" s="55"/>
      <c r="C208" s="55"/>
      <c r="D208" s="55"/>
      <c r="E208" s="49">
        <f t="shared" ref="E208:K209" si="81">E89</f>
        <v>300000</v>
      </c>
      <c r="F208" s="49">
        <f t="shared" si="81"/>
        <v>50000</v>
      </c>
      <c r="G208" s="49">
        <f t="shared" si="81"/>
        <v>50000</v>
      </c>
      <c r="H208" s="49">
        <f t="shared" si="81"/>
        <v>500000</v>
      </c>
      <c r="I208" s="49">
        <f t="shared" si="81"/>
        <v>50000</v>
      </c>
      <c r="J208" s="49">
        <f t="shared" si="81"/>
        <v>1000000</v>
      </c>
      <c r="K208" s="49">
        <f t="shared" si="81"/>
        <v>100000</v>
      </c>
    </row>
    <row r="209" spans="1:11" hidden="1" outlineLevel="1" x14ac:dyDescent="0.3">
      <c r="A209" s="54" t="s">
        <v>78</v>
      </c>
      <c r="B209" s="55"/>
      <c r="C209" s="55"/>
      <c r="D209" s="55"/>
      <c r="E209" s="49">
        <f t="shared" si="81"/>
        <v>200000</v>
      </c>
      <c r="F209" s="49">
        <f t="shared" si="81"/>
        <v>50000</v>
      </c>
      <c r="G209" s="49">
        <f t="shared" si="81"/>
        <v>50000</v>
      </c>
      <c r="H209" s="49">
        <f t="shared" si="81"/>
        <v>50000</v>
      </c>
      <c r="I209" s="49">
        <f t="shared" si="81"/>
        <v>200000</v>
      </c>
      <c r="J209" s="49">
        <f t="shared" si="81"/>
        <v>100000</v>
      </c>
      <c r="K209" s="49">
        <f t="shared" si="81"/>
        <v>500000</v>
      </c>
    </row>
    <row r="210" spans="1:11" ht="14.5" hidden="1" outlineLevel="1" thickBot="1" x14ac:dyDescent="0.35">
      <c r="A210" s="67" t="s">
        <v>66</v>
      </c>
      <c r="B210" s="67"/>
      <c r="C210" s="67"/>
      <c r="D210" s="67"/>
      <c r="E210" s="66">
        <f>SUM(E208:E209)</f>
        <v>500000</v>
      </c>
      <c r="F210" s="66">
        <f t="shared" ref="F210:K210" si="82">SUM(F208:F209)</f>
        <v>100000</v>
      </c>
      <c r="G210" s="66">
        <f t="shared" si="82"/>
        <v>100000</v>
      </c>
      <c r="H210" s="66">
        <f t="shared" si="82"/>
        <v>550000</v>
      </c>
      <c r="I210" s="66">
        <f t="shared" si="82"/>
        <v>250000</v>
      </c>
      <c r="J210" s="66">
        <f t="shared" si="82"/>
        <v>1100000</v>
      </c>
      <c r="K210" s="66">
        <f t="shared" si="82"/>
        <v>600000</v>
      </c>
    </row>
    <row r="211" spans="1:11" ht="14.5" hidden="1" outlineLevel="1" thickTop="1" x14ac:dyDescent="0.3"/>
    <row r="212" spans="1:11" hidden="1" outlineLevel="1" x14ac:dyDescent="0.3">
      <c r="A212" s="4" t="s">
        <v>101</v>
      </c>
    </row>
    <row r="213" spans="1:11" hidden="1" outlineLevel="1" x14ac:dyDescent="0.3">
      <c r="A213" s="54" t="s">
        <v>98</v>
      </c>
      <c r="B213" s="55"/>
      <c r="C213" s="55"/>
      <c r="D213" s="55"/>
      <c r="E213" s="49">
        <f>+E203+E208</f>
        <v>300000</v>
      </c>
      <c r="F213" s="49">
        <f t="shared" ref="F213:K214" si="83">+F203+F208</f>
        <v>290000</v>
      </c>
      <c r="G213" s="49">
        <f t="shared" si="83"/>
        <v>270000</v>
      </c>
      <c r="H213" s="49">
        <f t="shared" si="83"/>
        <v>690000</v>
      </c>
      <c r="I213" s="49">
        <f t="shared" si="83"/>
        <v>560000</v>
      </c>
      <c r="J213" s="49">
        <f t="shared" si="83"/>
        <v>1370000</v>
      </c>
      <c r="K213" s="49">
        <f t="shared" si="83"/>
        <v>1140000</v>
      </c>
    </row>
    <row r="214" spans="1:11" hidden="1" outlineLevel="1" x14ac:dyDescent="0.3">
      <c r="A214" s="54" t="s">
        <v>78</v>
      </c>
      <c r="B214" s="55"/>
      <c r="C214" s="55"/>
      <c r="D214" s="55"/>
      <c r="E214" s="49">
        <f>+E204+E209</f>
        <v>200000</v>
      </c>
      <c r="F214" s="49">
        <f t="shared" si="83"/>
        <v>210000</v>
      </c>
      <c r="G214" s="49">
        <f t="shared" si="83"/>
        <v>210000</v>
      </c>
      <c r="H214" s="49">
        <f t="shared" si="83"/>
        <v>200000</v>
      </c>
      <c r="I214" s="49">
        <f t="shared" si="83"/>
        <v>330000</v>
      </c>
      <c r="J214" s="49">
        <f t="shared" si="83"/>
        <v>320000</v>
      </c>
      <c r="K214" s="49">
        <f t="shared" si="83"/>
        <v>730000</v>
      </c>
    </row>
    <row r="215" spans="1:11" ht="14.5" hidden="1" outlineLevel="1" thickBot="1" x14ac:dyDescent="0.35">
      <c r="A215" s="67" t="s">
        <v>66</v>
      </c>
      <c r="B215" s="67"/>
      <c r="C215" s="67"/>
      <c r="D215" s="67"/>
      <c r="E215" s="66">
        <f>SUM(E213:E214)</f>
        <v>500000</v>
      </c>
      <c r="F215" s="66">
        <f t="shared" ref="F215:K215" si="84">SUM(F213:F214)</f>
        <v>500000</v>
      </c>
      <c r="G215" s="66">
        <f t="shared" si="84"/>
        <v>480000</v>
      </c>
      <c r="H215" s="66">
        <f t="shared" si="84"/>
        <v>890000</v>
      </c>
      <c r="I215" s="66">
        <f t="shared" si="84"/>
        <v>890000</v>
      </c>
      <c r="J215" s="66">
        <f t="shared" si="84"/>
        <v>1690000</v>
      </c>
      <c r="K215" s="66">
        <f t="shared" si="84"/>
        <v>1870000</v>
      </c>
    </row>
    <row r="216" spans="1:11" ht="14.5" hidden="1" outlineLevel="1" thickTop="1" x14ac:dyDescent="0.3"/>
    <row r="217" spans="1:11" hidden="1" outlineLevel="1" x14ac:dyDescent="0.3">
      <c r="A217" s="4" t="s">
        <v>42</v>
      </c>
    </row>
    <row r="218" spans="1:11" hidden="1" outlineLevel="1" x14ac:dyDescent="0.3">
      <c r="A218" s="4" t="s">
        <v>98</v>
      </c>
    </row>
    <row r="219" spans="1:11" hidden="1" outlineLevel="1" x14ac:dyDescent="0.3">
      <c r="A219" s="54">
        <f>$E$2</f>
        <v>2019</v>
      </c>
      <c r="B219" s="55"/>
      <c r="C219" s="55"/>
      <c r="D219" s="55"/>
      <c r="E219" s="49">
        <f>E$208/E$94</f>
        <v>60000</v>
      </c>
      <c r="F219" s="49">
        <f>IF(F$2&gt;$A219+F$94-1,0,E219)</f>
        <v>60000</v>
      </c>
      <c r="G219" s="49">
        <f t="shared" ref="G219:K219" si="85">IF(G$2&gt;$A219+G$94-1,0,F219)</f>
        <v>60000</v>
      </c>
      <c r="H219" s="49">
        <f t="shared" si="85"/>
        <v>60000</v>
      </c>
      <c r="I219" s="49">
        <f t="shared" si="85"/>
        <v>60000</v>
      </c>
      <c r="J219" s="49">
        <f t="shared" si="85"/>
        <v>0</v>
      </c>
      <c r="K219" s="49">
        <f t="shared" si="85"/>
        <v>0</v>
      </c>
    </row>
    <row r="220" spans="1:11" hidden="1" outlineLevel="1" x14ac:dyDescent="0.3">
      <c r="A220" s="54">
        <f>$F$2</f>
        <v>2020</v>
      </c>
      <c r="B220" s="55"/>
      <c r="C220" s="55"/>
      <c r="D220" s="55"/>
      <c r="E220" s="49"/>
      <c r="F220" s="49">
        <f>F$208/F$94</f>
        <v>10000</v>
      </c>
      <c r="G220" s="49">
        <f>IF(G$2&gt;$A220+G$94-1,0,F220)</f>
        <v>10000</v>
      </c>
      <c r="H220" s="49">
        <f t="shared" ref="H220:K220" si="86">IF(H$2&gt;$A220+H$94-1,0,G220)</f>
        <v>10000</v>
      </c>
      <c r="I220" s="49">
        <f t="shared" si="86"/>
        <v>10000</v>
      </c>
      <c r="J220" s="49">
        <f t="shared" si="86"/>
        <v>10000</v>
      </c>
      <c r="K220" s="49">
        <f t="shared" si="86"/>
        <v>0</v>
      </c>
    </row>
    <row r="221" spans="1:11" hidden="1" outlineLevel="1" x14ac:dyDescent="0.3">
      <c r="A221" s="54">
        <f>$G$2</f>
        <v>2021</v>
      </c>
      <c r="B221" s="55"/>
      <c r="C221" s="55"/>
      <c r="D221" s="55"/>
      <c r="E221" s="49"/>
      <c r="F221" s="49"/>
      <c r="G221" s="49">
        <f>G$208/G$94</f>
        <v>10000</v>
      </c>
      <c r="H221" s="49">
        <f>IF(H$2&gt;$A221+H$94-1,0,G221)</f>
        <v>10000</v>
      </c>
      <c r="I221" s="49">
        <f t="shared" ref="I221:K221" si="87">IF(I$2&gt;$A221+I$94-1,0,H221)</f>
        <v>10000</v>
      </c>
      <c r="J221" s="49">
        <f t="shared" si="87"/>
        <v>10000</v>
      </c>
      <c r="K221" s="49">
        <f t="shared" si="87"/>
        <v>10000</v>
      </c>
    </row>
    <row r="222" spans="1:11" hidden="1" outlineLevel="1" x14ac:dyDescent="0.3">
      <c r="A222" s="54">
        <f>$H$2</f>
        <v>2022</v>
      </c>
      <c r="B222" s="55"/>
      <c r="C222" s="55"/>
      <c r="D222" s="55"/>
      <c r="E222" s="49"/>
      <c r="F222" s="49"/>
      <c r="G222" s="49"/>
      <c r="H222" s="49">
        <f>H$208/H$94</f>
        <v>100000</v>
      </c>
      <c r="I222" s="49">
        <f>IF(I$2&gt;$A222+I$94-1,0,H222)</f>
        <v>100000</v>
      </c>
      <c r="J222" s="49">
        <f t="shared" ref="J222:K222" si="88">IF(J$2&gt;$A222+J$94-1,0,I222)</f>
        <v>100000</v>
      </c>
      <c r="K222" s="49">
        <f t="shared" si="88"/>
        <v>100000</v>
      </c>
    </row>
    <row r="223" spans="1:11" hidden="1" outlineLevel="1" x14ac:dyDescent="0.3">
      <c r="A223" s="54">
        <f>$I$2</f>
        <v>2023</v>
      </c>
      <c r="B223" s="55"/>
      <c r="C223" s="55"/>
      <c r="D223" s="55"/>
      <c r="E223" s="49"/>
      <c r="F223" s="49"/>
      <c r="G223" s="49"/>
      <c r="H223" s="49"/>
      <c r="I223" s="49">
        <f>I$208/I$94</f>
        <v>10000</v>
      </c>
      <c r="J223" s="49">
        <f>IF(J$2&gt;$A223+J$94-1,0,I223)</f>
        <v>10000</v>
      </c>
      <c r="K223" s="49">
        <f>IF(K$2&gt;$A223+K$94-1,0,J223)</f>
        <v>10000</v>
      </c>
    </row>
    <row r="224" spans="1:11" hidden="1" outlineLevel="1" x14ac:dyDescent="0.3">
      <c r="A224" s="54">
        <f>$J$2</f>
        <v>2024</v>
      </c>
      <c r="B224" s="55"/>
      <c r="C224" s="55"/>
      <c r="D224" s="55"/>
      <c r="E224" s="49"/>
      <c r="F224" s="49"/>
      <c r="G224" s="49"/>
      <c r="H224" s="49"/>
      <c r="I224" s="49"/>
      <c r="J224" s="49">
        <f>J$208/J$94</f>
        <v>200000</v>
      </c>
      <c r="K224" s="49">
        <f>IF(K$2&gt;$A224+K$94-1,0,J224)</f>
        <v>200000</v>
      </c>
    </row>
    <row r="225" spans="1:11" hidden="1" outlineLevel="1" x14ac:dyDescent="0.3">
      <c r="A225" s="54">
        <f>$K$2</f>
        <v>2025</v>
      </c>
      <c r="B225" s="55"/>
      <c r="C225" s="55"/>
      <c r="D225" s="55"/>
      <c r="E225" s="49"/>
      <c r="F225" s="49"/>
      <c r="G225" s="49"/>
      <c r="H225" s="49"/>
      <c r="I225" s="49"/>
      <c r="J225" s="49"/>
      <c r="K225" s="49">
        <f>K$208/K$94</f>
        <v>20000</v>
      </c>
    </row>
    <row r="226" spans="1:11" ht="14.5" hidden="1" outlineLevel="1" thickBot="1" x14ac:dyDescent="0.35">
      <c r="A226" s="67" t="s">
        <v>101</v>
      </c>
      <c r="B226" s="67"/>
      <c r="C226" s="67"/>
      <c r="D226" s="67"/>
      <c r="E226" s="66">
        <f>SUM(E219:E225)</f>
        <v>60000</v>
      </c>
      <c r="F226" s="66">
        <f t="shared" ref="F226:K226" si="89">SUM(F219:F225)</f>
        <v>70000</v>
      </c>
      <c r="G226" s="66">
        <f t="shared" si="89"/>
        <v>80000</v>
      </c>
      <c r="H226" s="66">
        <f t="shared" si="89"/>
        <v>180000</v>
      </c>
      <c r="I226" s="66">
        <f t="shared" si="89"/>
        <v>190000</v>
      </c>
      <c r="J226" s="66">
        <f t="shared" si="89"/>
        <v>330000</v>
      </c>
      <c r="K226" s="66">
        <f t="shared" si="89"/>
        <v>340000</v>
      </c>
    </row>
    <row r="227" spans="1:11" ht="14.5" hidden="1" outlineLevel="1" thickTop="1" x14ac:dyDescent="0.3"/>
    <row r="228" spans="1:11" hidden="1" outlineLevel="1" x14ac:dyDescent="0.3">
      <c r="A228" s="4" t="s">
        <v>78</v>
      </c>
    </row>
    <row r="229" spans="1:11" hidden="1" outlineLevel="1" x14ac:dyDescent="0.3">
      <c r="A229" s="54">
        <f>$E$2</f>
        <v>2019</v>
      </c>
      <c r="B229" s="55"/>
      <c r="C229" s="55"/>
      <c r="D229" s="55"/>
      <c r="E229" s="49">
        <f>E$209/E$95</f>
        <v>40000</v>
      </c>
      <c r="F229" s="49">
        <f>IF(F$2&gt;$A229+F$95-1,0,E229)</f>
        <v>40000</v>
      </c>
      <c r="G229" s="49">
        <f t="shared" ref="G229:K229" si="90">IF(G$2&gt;$A229+G$95-1,0,F229)</f>
        <v>40000</v>
      </c>
      <c r="H229" s="49">
        <f t="shared" si="90"/>
        <v>40000</v>
      </c>
      <c r="I229" s="49">
        <f t="shared" si="90"/>
        <v>40000</v>
      </c>
      <c r="J229" s="49">
        <f t="shared" si="90"/>
        <v>0</v>
      </c>
      <c r="K229" s="49">
        <f t="shared" si="90"/>
        <v>0</v>
      </c>
    </row>
    <row r="230" spans="1:11" hidden="1" outlineLevel="1" x14ac:dyDescent="0.3">
      <c r="A230" s="54">
        <f>$F$2</f>
        <v>2020</v>
      </c>
      <c r="B230" s="55"/>
      <c r="C230" s="55"/>
      <c r="D230" s="55"/>
      <c r="E230" s="49"/>
      <c r="F230" s="49">
        <f>F$209/F$95</f>
        <v>10000</v>
      </c>
      <c r="G230" s="49">
        <f>IF(G$2&gt;$A230+G$95-1,0,F230)</f>
        <v>10000</v>
      </c>
      <c r="H230" s="49">
        <f t="shared" ref="H230:K230" si="91">IF(H$2&gt;$A230+H$95-1,0,G230)</f>
        <v>10000</v>
      </c>
      <c r="I230" s="49">
        <f t="shared" si="91"/>
        <v>10000</v>
      </c>
      <c r="J230" s="49">
        <f t="shared" si="91"/>
        <v>10000</v>
      </c>
      <c r="K230" s="49">
        <f t="shared" si="91"/>
        <v>0</v>
      </c>
    </row>
    <row r="231" spans="1:11" hidden="1" outlineLevel="1" x14ac:dyDescent="0.3">
      <c r="A231" s="54">
        <f>$G$2</f>
        <v>2021</v>
      </c>
      <c r="B231" s="55"/>
      <c r="C231" s="55"/>
      <c r="D231" s="55"/>
      <c r="E231" s="49"/>
      <c r="F231" s="49"/>
      <c r="G231" s="49">
        <f>G$209/G$95</f>
        <v>10000</v>
      </c>
      <c r="H231" s="49">
        <f>IF(H$2&gt;$A231+H$95-1,0,G231)</f>
        <v>10000</v>
      </c>
      <c r="I231" s="49">
        <f t="shared" ref="I231:K231" si="92">IF(I$2&gt;$A231+I$95-1,0,H231)</f>
        <v>10000</v>
      </c>
      <c r="J231" s="49">
        <f t="shared" si="92"/>
        <v>10000</v>
      </c>
      <c r="K231" s="49">
        <f t="shared" si="92"/>
        <v>10000</v>
      </c>
    </row>
    <row r="232" spans="1:11" hidden="1" outlineLevel="1" x14ac:dyDescent="0.3">
      <c r="A232" s="54">
        <f>$H$2</f>
        <v>2022</v>
      </c>
      <c r="B232" s="55"/>
      <c r="C232" s="55"/>
      <c r="D232" s="55"/>
      <c r="E232" s="49"/>
      <c r="F232" s="49"/>
      <c r="G232" s="49"/>
      <c r="H232" s="49">
        <f>H$209/H$95</f>
        <v>10000</v>
      </c>
      <c r="I232" s="49">
        <f>IF(I$2&gt;$A232+I$95-1,0,H232)</f>
        <v>10000</v>
      </c>
      <c r="J232" s="49">
        <f t="shared" ref="J232:K232" si="93">IF(J$2&gt;$A232+J$95-1,0,I232)</f>
        <v>10000</v>
      </c>
      <c r="K232" s="49">
        <f t="shared" si="93"/>
        <v>10000</v>
      </c>
    </row>
    <row r="233" spans="1:11" hidden="1" outlineLevel="1" x14ac:dyDescent="0.3">
      <c r="A233" s="54">
        <f>$I$2</f>
        <v>2023</v>
      </c>
      <c r="B233" s="55"/>
      <c r="C233" s="55"/>
      <c r="D233" s="55"/>
      <c r="E233" s="49"/>
      <c r="F233" s="49"/>
      <c r="G233" s="49"/>
      <c r="H233" s="49"/>
      <c r="I233" s="49">
        <f>I$209/I$95</f>
        <v>40000</v>
      </c>
      <c r="J233" s="49">
        <f>IF(J$2&gt;$A233+J$95-1,0,I233)</f>
        <v>40000</v>
      </c>
      <c r="K233" s="49">
        <f>IF(K$2&gt;$A233+K$95-1,0,J233)</f>
        <v>40000</v>
      </c>
    </row>
    <row r="234" spans="1:11" hidden="1" outlineLevel="1" x14ac:dyDescent="0.3">
      <c r="A234" s="54">
        <f>$J$2</f>
        <v>2024</v>
      </c>
      <c r="B234" s="55"/>
      <c r="C234" s="55"/>
      <c r="D234" s="55"/>
      <c r="E234" s="49"/>
      <c r="F234" s="49"/>
      <c r="G234" s="49"/>
      <c r="H234" s="49"/>
      <c r="I234" s="49"/>
      <c r="J234" s="49">
        <f>J$209/J$95</f>
        <v>20000</v>
      </c>
      <c r="K234" s="49">
        <f>IF(K$2&gt;$A234+K$95-1,0,J234)</f>
        <v>20000</v>
      </c>
    </row>
    <row r="235" spans="1:11" hidden="1" outlineLevel="1" x14ac:dyDescent="0.3">
      <c r="A235" s="54">
        <f>$K$2</f>
        <v>2025</v>
      </c>
      <c r="B235" s="55"/>
      <c r="C235" s="55"/>
      <c r="D235" s="55"/>
      <c r="E235" s="49"/>
      <c r="F235" s="49"/>
      <c r="G235" s="49"/>
      <c r="H235" s="49"/>
      <c r="I235" s="49"/>
      <c r="J235" s="49"/>
      <c r="K235" s="49">
        <f>K$209/K$95</f>
        <v>100000</v>
      </c>
    </row>
    <row r="236" spans="1:11" ht="14.5" hidden="1" outlineLevel="1" thickBot="1" x14ac:dyDescent="0.35">
      <c r="A236" s="67" t="s">
        <v>101</v>
      </c>
      <c r="B236" s="67"/>
      <c r="C236" s="67"/>
      <c r="D236" s="67"/>
      <c r="E236" s="66">
        <f>SUM(E229:E235)</f>
        <v>40000</v>
      </c>
      <c r="F236" s="66">
        <f t="shared" ref="F236:K236" si="94">SUM(F229:F235)</f>
        <v>50000</v>
      </c>
      <c r="G236" s="66">
        <f t="shared" si="94"/>
        <v>60000</v>
      </c>
      <c r="H236" s="66">
        <f t="shared" si="94"/>
        <v>70000</v>
      </c>
      <c r="I236" s="66">
        <f t="shared" si="94"/>
        <v>110000</v>
      </c>
      <c r="J236" s="66">
        <f t="shared" si="94"/>
        <v>90000</v>
      </c>
      <c r="K236" s="66">
        <f t="shared" si="94"/>
        <v>180000</v>
      </c>
    </row>
    <row r="237" spans="1:11" ht="14.5" hidden="1" outlineLevel="1" thickTop="1" x14ac:dyDescent="0.3">
      <c r="A237" s="11"/>
    </row>
    <row r="238" spans="1:11" ht="14.5" hidden="1" outlineLevel="1" thickBot="1" x14ac:dyDescent="0.35">
      <c r="A238" s="67" t="s">
        <v>66</v>
      </c>
      <c r="B238" s="67"/>
      <c r="C238" s="67"/>
      <c r="D238" s="67"/>
      <c r="E238" s="66">
        <f>+E236+E226</f>
        <v>100000</v>
      </c>
      <c r="F238" s="66">
        <f t="shared" ref="F238:K238" si="95">+F236+F226</f>
        <v>120000</v>
      </c>
      <c r="G238" s="66">
        <f t="shared" si="95"/>
        <v>140000</v>
      </c>
      <c r="H238" s="66">
        <f t="shared" si="95"/>
        <v>250000</v>
      </c>
      <c r="I238" s="66">
        <f t="shared" si="95"/>
        <v>300000</v>
      </c>
      <c r="J238" s="66">
        <f t="shared" si="95"/>
        <v>420000</v>
      </c>
      <c r="K238" s="66">
        <f t="shared" si="95"/>
        <v>520000</v>
      </c>
    </row>
    <row r="239" spans="1:11" ht="14.5" hidden="1" outlineLevel="1" thickTop="1" x14ac:dyDescent="0.3"/>
    <row r="240" spans="1:11" hidden="1" outlineLevel="1" x14ac:dyDescent="0.3">
      <c r="A240" s="4" t="s">
        <v>102</v>
      </c>
    </row>
    <row r="241" spans="1:18" hidden="1" outlineLevel="1" x14ac:dyDescent="0.3">
      <c r="A241" s="54" t="s">
        <v>98</v>
      </c>
      <c r="B241" s="55"/>
      <c r="C241" s="55"/>
      <c r="D241" s="55"/>
      <c r="E241" s="49">
        <f>E213-E226</f>
        <v>240000</v>
      </c>
      <c r="F241" s="49">
        <f t="shared" ref="F241:K241" si="96">F213-F226</f>
        <v>220000</v>
      </c>
      <c r="G241" s="49">
        <f t="shared" si="96"/>
        <v>190000</v>
      </c>
      <c r="H241" s="49">
        <f t="shared" si="96"/>
        <v>510000</v>
      </c>
      <c r="I241" s="49">
        <f t="shared" si="96"/>
        <v>370000</v>
      </c>
      <c r="J241" s="49">
        <f t="shared" si="96"/>
        <v>1040000</v>
      </c>
      <c r="K241" s="49">
        <f t="shared" si="96"/>
        <v>800000</v>
      </c>
    </row>
    <row r="242" spans="1:18" hidden="1" outlineLevel="1" x14ac:dyDescent="0.3">
      <c r="A242" s="54" t="s">
        <v>78</v>
      </c>
      <c r="B242" s="55"/>
      <c r="C242" s="55"/>
      <c r="D242" s="55"/>
      <c r="E242" s="49">
        <f>E214-E236</f>
        <v>160000</v>
      </c>
      <c r="F242" s="49">
        <f t="shared" ref="F242:K242" si="97">F214-F236</f>
        <v>160000</v>
      </c>
      <c r="G242" s="49">
        <f t="shared" si="97"/>
        <v>150000</v>
      </c>
      <c r="H242" s="49">
        <f t="shared" si="97"/>
        <v>130000</v>
      </c>
      <c r="I242" s="49">
        <f t="shared" si="97"/>
        <v>220000</v>
      </c>
      <c r="J242" s="49">
        <f t="shared" si="97"/>
        <v>230000</v>
      </c>
      <c r="K242" s="49">
        <f t="shared" si="97"/>
        <v>550000</v>
      </c>
    </row>
    <row r="243" spans="1:18" ht="14.5" hidden="1" outlineLevel="1" thickBot="1" x14ac:dyDescent="0.35">
      <c r="A243" s="67" t="s">
        <v>66</v>
      </c>
      <c r="B243" s="67"/>
      <c r="C243" s="67"/>
      <c r="D243" s="67"/>
      <c r="E243" s="66">
        <f>SUM(E241:E242)</f>
        <v>400000</v>
      </c>
      <c r="F243" s="66">
        <f t="shared" ref="F243:K243" si="98">SUM(F241:F242)</f>
        <v>380000</v>
      </c>
      <c r="G243" s="66">
        <f t="shared" si="98"/>
        <v>340000</v>
      </c>
      <c r="H243" s="66">
        <f t="shared" si="98"/>
        <v>640000</v>
      </c>
      <c r="I243" s="66">
        <f t="shared" si="98"/>
        <v>590000</v>
      </c>
      <c r="J243" s="66">
        <f t="shared" si="98"/>
        <v>1270000</v>
      </c>
      <c r="K243" s="66">
        <f t="shared" si="98"/>
        <v>1350000</v>
      </c>
    </row>
    <row r="244" spans="1:18" ht="14.5" hidden="1" outlineLevel="1" thickTop="1" x14ac:dyDescent="0.3"/>
    <row r="245" spans="1:18" hidden="1" outlineLevel="1" x14ac:dyDescent="0.3"/>
    <row r="246" spans="1:18" hidden="1" outlineLevel="1" x14ac:dyDescent="0.3">
      <c r="A246" s="4" t="s">
        <v>153</v>
      </c>
    </row>
    <row r="247" spans="1:18" hidden="1" outlineLevel="1" x14ac:dyDescent="0.3">
      <c r="A247" s="54" t="s">
        <v>99</v>
      </c>
      <c r="B247" s="55"/>
      <c r="C247" s="55"/>
      <c r="D247" s="55"/>
      <c r="E247" s="49">
        <f>+D249</f>
        <v>0</v>
      </c>
      <c r="F247" s="49">
        <f t="shared" ref="F247:K247" si="99">+E249</f>
        <v>0</v>
      </c>
      <c r="G247" s="49">
        <f t="shared" si="99"/>
        <v>0</v>
      </c>
      <c r="H247" s="49">
        <f t="shared" si="99"/>
        <v>0</v>
      </c>
      <c r="I247" s="49">
        <f t="shared" si="99"/>
        <v>0</v>
      </c>
      <c r="J247" s="49">
        <f t="shared" si="99"/>
        <v>0</v>
      </c>
      <c r="K247" s="49">
        <f t="shared" si="99"/>
        <v>0</v>
      </c>
    </row>
    <row r="248" spans="1:18" hidden="1" outlineLevel="1" x14ac:dyDescent="0.3">
      <c r="A248" s="54" t="s">
        <v>147</v>
      </c>
      <c r="B248" s="55"/>
      <c r="C248" s="55"/>
      <c r="D248" s="55"/>
      <c r="E248" s="49">
        <f>E99</f>
        <v>0</v>
      </c>
      <c r="F248" s="49">
        <f t="shared" ref="F248:K248" si="100">F99</f>
        <v>0</v>
      </c>
      <c r="G248" s="49">
        <f t="shared" si="100"/>
        <v>0</v>
      </c>
      <c r="H248" s="49">
        <f t="shared" si="100"/>
        <v>0</v>
      </c>
      <c r="I248" s="49">
        <f t="shared" si="100"/>
        <v>0</v>
      </c>
      <c r="J248" s="49">
        <f t="shared" si="100"/>
        <v>0</v>
      </c>
      <c r="K248" s="49">
        <f t="shared" si="100"/>
        <v>0</v>
      </c>
    </row>
    <row r="249" spans="1:18" ht="14.5" hidden="1" outlineLevel="1" thickBot="1" x14ac:dyDescent="0.35">
      <c r="A249" s="67" t="s">
        <v>102</v>
      </c>
      <c r="B249" s="67"/>
      <c r="C249" s="67"/>
      <c r="D249" s="67"/>
      <c r="E249" s="66">
        <f>+E247+E248</f>
        <v>0</v>
      </c>
      <c r="F249" s="66">
        <f t="shared" ref="F249:K249" si="101">+F247+F248</f>
        <v>0</v>
      </c>
      <c r="G249" s="66">
        <f t="shared" si="101"/>
        <v>0</v>
      </c>
      <c r="H249" s="66">
        <f t="shared" si="101"/>
        <v>0</v>
      </c>
      <c r="I249" s="66">
        <f t="shared" si="101"/>
        <v>0</v>
      </c>
      <c r="J249" s="66">
        <f t="shared" si="101"/>
        <v>0</v>
      </c>
      <c r="K249" s="66">
        <f t="shared" si="101"/>
        <v>0</v>
      </c>
    </row>
    <row r="250" spans="1:18" ht="14.5" hidden="1" outlineLevel="1" thickTop="1" x14ac:dyDescent="0.3"/>
    <row r="251" spans="1:18" ht="14.5" hidden="1" outlineLevel="1" thickBot="1" x14ac:dyDescent="0.35">
      <c r="A251" s="67" t="s">
        <v>154</v>
      </c>
      <c r="B251" s="67"/>
      <c r="C251" s="67"/>
      <c r="D251" s="67"/>
      <c r="E251" s="66">
        <f>(E247+E249)/2*E98</f>
        <v>0</v>
      </c>
      <c r="F251" s="66">
        <f t="shared" ref="F251:K251" si="102">(F247+F249)/2*F98</f>
        <v>0</v>
      </c>
      <c r="G251" s="66">
        <f t="shared" si="102"/>
        <v>0</v>
      </c>
      <c r="H251" s="66">
        <f t="shared" si="102"/>
        <v>0</v>
      </c>
      <c r="I251" s="66">
        <f t="shared" si="102"/>
        <v>0</v>
      </c>
      <c r="J251" s="66">
        <f t="shared" si="102"/>
        <v>0</v>
      </c>
      <c r="K251" s="66">
        <f t="shared" si="102"/>
        <v>0</v>
      </c>
    </row>
    <row r="252" spans="1:18" ht="14.5" hidden="1" outlineLevel="1" thickTop="1" x14ac:dyDescent="0.3"/>
    <row r="253" spans="1:18" collapsed="1" x14ac:dyDescent="0.3"/>
    <row r="254" spans="1:18" s="14" customFormat="1" ht="19" customHeight="1" x14ac:dyDescent="0.35">
      <c r="A254" s="31" t="s">
        <v>103</v>
      </c>
      <c r="B254" s="32"/>
      <c r="C254" s="32"/>
      <c r="D254" s="33"/>
      <c r="E254" s="33"/>
      <c r="F254" s="33"/>
      <c r="G254" s="33"/>
      <c r="H254" s="33"/>
      <c r="I254" s="33"/>
      <c r="J254" s="34"/>
      <c r="K254" s="34"/>
      <c r="L254" s="33"/>
      <c r="M254" s="33"/>
      <c r="N254" s="33"/>
      <c r="O254" s="33"/>
      <c r="P254" s="33"/>
      <c r="Q254" s="33"/>
      <c r="R254" s="33"/>
    </row>
    <row r="255" spans="1:18" hidden="1" outlineLevel="1" x14ac:dyDescent="0.3"/>
    <row r="256" spans="1:18" hidden="1" outlineLevel="1" x14ac:dyDescent="0.3">
      <c r="A256" s="54" t="s">
        <v>109</v>
      </c>
      <c r="B256" s="55"/>
      <c r="C256" s="55"/>
      <c r="D256" s="55"/>
      <c r="E256" s="49">
        <f>E119/(E33+E32)</f>
        <v>130.13698630136986</v>
      </c>
      <c r="F256" s="49">
        <f t="shared" ref="F256:K256" si="103">F119/(F33+F32)</f>
        <v>136.9047619047619</v>
      </c>
      <c r="G256" s="49">
        <f t="shared" si="103"/>
        <v>136.9047619047619</v>
      </c>
      <c r="H256" s="49">
        <f t="shared" si="103"/>
        <v>142.85714285714286</v>
      </c>
      <c r="I256" s="49">
        <f t="shared" si="103"/>
        <v>142.85714285714286</v>
      </c>
      <c r="J256" s="49">
        <f t="shared" si="103"/>
        <v>148.8095238095238</v>
      </c>
      <c r="K256" s="49">
        <f t="shared" si="103"/>
        <v>154.76190476190476</v>
      </c>
    </row>
    <row r="257" spans="1:18" hidden="1" outlineLevel="1" x14ac:dyDescent="0.3"/>
    <row r="258" spans="1:18" hidden="1" outlineLevel="1" x14ac:dyDescent="0.3">
      <c r="A258" s="54" t="s">
        <v>112</v>
      </c>
      <c r="B258" s="55"/>
      <c r="C258" s="55"/>
      <c r="D258" s="55"/>
      <c r="E258" s="49">
        <f>(E122+E119)/E34</f>
        <v>38</v>
      </c>
      <c r="F258" s="49">
        <f t="shared" ref="F258:K258" si="104">(F122+F119)/F34</f>
        <v>51</v>
      </c>
      <c r="G258" s="49">
        <f t="shared" si="104"/>
        <v>67.25</v>
      </c>
      <c r="H258" s="49">
        <f t="shared" si="104"/>
        <v>84</v>
      </c>
      <c r="I258" s="49">
        <f t="shared" si="104"/>
        <v>99.5</v>
      </c>
      <c r="J258" s="49">
        <f t="shared" si="104"/>
        <v>115</v>
      </c>
      <c r="K258" s="49">
        <f t="shared" si="104"/>
        <v>124</v>
      </c>
    </row>
    <row r="259" spans="1:18" hidden="1" outlineLevel="1" x14ac:dyDescent="0.3"/>
    <row r="260" spans="1:18" hidden="1" outlineLevel="1" x14ac:dyDescent="0.3">
      <c r="A260" s="54" t="s">
        <v>110</v>
      </c>
      <c r="B260" s="55"/>
      <c r="C260" s="55"/>
      <c r="D260" s="55"/>
      <c r="E260" s="49">
        <f>E258/E47</f>
        <v>152</v>
      </c>
      <c r="F260" s="49">
        <f t="shared" ref="F260:K260" si="105">F258/F47</f>
        <v>204</v>
      </c>
      <c r="G260" s="49">
        <f t="shared" si="105"/>
        <v>269</v>
      </c>
      <c r="H260" s="49">
        <f t="shared" si="105"/>
        <v>336</v>
      </c>
      <c r="I260" s="49">
        <f t="shared" si="105"/>
        <v>398</v>
      </c>
      <c r="J260" s="49">
        <f t="shared" si="105"/>
        <v>460</v>
      </c>
      <c r="K260" s="49">
        <f t="shared" si="105"/>
        <v>496</v>
      </c>
    </row>
    <row r="261" spans="1:18" hidden="1" outlineLevel="1" x14ac:dyDescent="0.3"/>
    <row r="262" spans="1:18" hidden="1" outlineLevel="1" x14ac:dyDescent="0.3">
      <c r="A262" s="54" t="s">
        <v>111</v>
      </c>
      <c r="B262" s="55"/>
      <c r="C262" s="55"/>
      <c r="D262" s="55"/>
      <c r="E262" s="49">
        <f>E260/E256</f>
        <v>1.1679999999999999</v>
      </c>
      <c r="F262" s="49">
        <f t="shared" ref="F262:K262" si="106">F260/F256</f>
        <v>1.4900869565217392</v>
      </c>
      <c r="G262" s="49">
        <f t="shared" si="106"/>
        <v>1.9648695652173913</v>
      </c>
      <c r="H262" s="49">
        <f t="shared" si="106"/>
        <v>2.3519999999999999</v>
      </c>
      <c r="I262" s="49">
        <f t="shared" si="106"/>
        <v>2.786</v>
      </c>
      <c r="J262" s="49">
        <f t="shared" si="106"/>
        <v>3.0912000000000002</v>
      </c>
      <c r="K262" s="49">
        <f t="shared" si="106"/>
        <v>3.2049230769230768</v>
      </c>
    </row>
    <row r="263" spans="1:18" hidden="1" outlineLevel="1" x14ac:dyDescent="0.3"/>
    <row r="264" spans="1:18" hidden="1" outlineLevel="1" x14ac:dyDescent="0.3">
      <c r="A264" s="54" t="s">
        <v>113</v>
      </c>
      <c r="B264" s="55"/>
      <c r="C264" s="55"/>
      <c r="D264" s="55"/>
      <c r="E264" s="49">
        <f>E256/E258</f>
        <v>3.4246575342465753</v>
      </c>
      <c r="F264" s="49">
        <f t="shared" ref="F264:K264" si="107">F256/F258</f>
        <v>2.6844070961718018</v>
      </c>
      <c r="G264" s="49">
        <f t="shared" si="107"/>
        <v>2.0357585413347494</v>
      </c>
      <c r="H264" s="49">
        <f t="shared" si="107"/>
        <v>1.7006802721088436</v>
      </c>
      <c r="I264" s="49">
        <f t="shared" si="107"/>
        <v>1.4357501794687724</v>
      </c>
      <c r="J264" s="49">
        <f t="shared" si="107"/>
        <v>1.2939958592132503</v>
      </c>
      <c r="K264" s="49">
        <f t="shared" si="107"/>
        <v>1.2480798771121351</v>
      </c>
    </row>
    <row r="265" spans="1:18" hidden="1" outlineLevel="1" x14ac:dyDescent="0.3"/>
    <row r="266" spans="1:18" collapsed="1" x14ac:dyDescent="0.3"/>
    <row r="267" spans="1:18" s="14" customFormat="1" ht="19" customHeight="1" x14ac:dyDescent="0.35">
      <c r="A267" s="31" t="s">
        <v>114</v>
      </c>
      <c r="B267" s="32"/>
      <c r="C267" s="32"/>
      <c r="D267" s="33"/>
      <c r="E267" s="33"/>
      <c r="F267" s="33"/>
      <c r="G267" s="33"/>
      <c r="H267" s="33"/>
      <c r="I267" s="33"/>
      <c r="J267" s="33"/>
      <c r="K267" s="34"/>
      <c r="L267" s="34"/>
      <c r="M267" s="33"/>
      <c r="N267" s="33"/>
      <c r="O267" s="33"/>
      <c r="P267" s="33"/>
      <c r="Q267" s="33"/>
      <c r="R267" s="33"/>
    </row>
    <row r="268" spans="1:18" hidden="1" outlineLevel="1" x14ac:dyDescent="0.3"/>
    <row r="269" spans="1:18" ht="14.5" hidden="1" outlineLevel="1" thickBot="1" x14ac:dyDescent="0.35">
      <c r="A269" s="67" t="s">
        <v>115</v>
      </c>
      <c r="B269" s="67"/>
      <c r="C269" s="67"/>
      <c r="D269" s="67"/>
      <c r="E269" s="66">
        <f>E134+E133</f>
        <v>-2573040</v>
      </c>
      <c r="F269" s="66">
        <f t="shared" ref="F269:K269" si="108">F134+F133</f>
        <v>-1340320</v>
      </c>
      <c r="G269" s="66">
        <f t="shared" si="108"/>
        <v>57140</v>
      </c>
      <c r="H269" s="66">
        <f t="shared" si="108"/>
        <v>1233760</v>
      </c>
      <c r="I269" s="66">
        <f t="shared" si="108"/>
        <v>2782080</v>
      </c>
      <c r="J269" s="66">
        <f t="shared" si="108"/>
        <v>4941600</v>
      </c>
      <c r="K269" s="66">
        <f t="shared" si="108"/>
        <v>5738560</v>
      </c>
    </row>
    <row r="270" spans="1:18" ht="14.5" hidden="1" outlineLevel="1" thickTop="1" x14ac:dyDescent="0.3"/>
    <row r="271" spans="1:18" hidden="1" outlineLevel="1" x14ac:dyDescent="0.3">
      <c r="A271" s="4" t="s">
        <v>116</v>
      </c>
    </row>
    <row r="272" spans="1:18" hidden="1" outlineLevel="1" x14ac:dyDescent="0.3">
      <c r="A272" s="54" t="s">
        <v>99</v>
      </c>
      <c r="B272" s="55"/>
      <c r="C272" s="55"/>
      <c r="D272" s="55"/>
      <c r="E272" s="49">
        <f>D276</f>
        <v>0</v>
      </c>
      <c r="F272" s="49">
        <f t="shared" ref="F272:K272" si="109">E276</f>
        <v>2573040</v>
      </c>
      <c r="G272" s="49">
        <f t="shared" si="109"/>
        <v>3913360</v>
      </c>
      <c r="H272" s="49">
        <f t="shared" si="109"/>
        <v>3856220</v>
      </c>
      <c r="I272" s="49">
        <f t="shared" si="109"/>
        <v>2622460</v>
      </c>
      <c r="J272" s="49">
        <f t="shared" si="109"/>
        <v>0</v>
      </c>
      <c r="K272" s="49">
        <f t="shared" si="109"/>
        <v>0</v>
      </c>
    </row>
    <row r="273" spans="1:11" hidden="1" outlineLevel="1" x14ac:dyDescent="0.3">
      <c r="A273" s="54" t="s">
        <v>117</v>
      </c>
      <c r="B273" s="55"/>
      <c r="C273" s="55"/>
      <c r="D273" s="55"/>
      <c r="E273" s="49">
        <f>IF(E269&lt;0,ABS(E269),0)</f>
        <v>2573040</v>
      </c>
      <c r="F273" s="49">
        <f>IF(F269&lt;0,ABS(F269),0)</f>
        <v>1340320</v>
      </c>
      <c r="G273" s="49">
        <f t="shared" ref="G273:K273" si="110">IF(G269&lt;0,ABS(G269),0)</f>
        <v>0</v>
      </c>
      <c r="H273" s="49">
        <f t="shared" si="110"/>
        <v>0</v>
      </c>
      <c r="I273" s="49">
        <f t="shared" si="110"/>
        <v>0</v>
      </c>
      <c r="J273" s="49">
        <f t="shared" si="110"/>
        <v>0</v>
      </c>
      <c r="K273" s="49">
        <f t="shared" si="110"/>
        <v>0</v>
      </c>
    </row>
    <row r="274" spans="1:11" ht="14.5" hidden="1" outlineLevel="1" thickBot="1" x14ac:dyDescent="0.35">
      <c r="A274" s="67" t="s">
        <v>118</v>
      </c>
      <c r="B274" s="67"/>
      <c r="C274" s="67"/>
      <c r="D274" s="67"/>
      <c r="E274" s="66">
        <f>SUM(E272:E273)</f>
        <v>2573040</v>
      </c>
      <c r="F274" s="66">
        <f t="shared" ref="F274:K274" si="111">SUM(F272:F273)</f>
        <v>3913360</v>
      </c>
      <c r="G274" s="66">
        <f t="shared" si="111"/>
        <v>3913360</v>
      </c>
      <c r="H274" s="66">
        <f t="shared" si="111"/>
        <v>3856220</v>
      </c>
      <c r="I274" s="66">
        <f t="shared" si="111"/>
        <v>2622460</v>
      </c>
      <c r="J274" s="66">
        <f t="shared" si="111"/>
        <v>0</v>
      </c>
      <c r="K274" s="66">
        <f t="shared" si="111"/>
        <v>0</v>
      </c>
    </row>
    <row r="275" spans="1:11" ht="14.5" hidden="1" outlineLevel="1" thickTop="1" x14ac:dyDescent="0.3">
      <c r="A275" s="46" t="s">
        <v>119</v>
      </c>
      <c r="E275" s="1">
        <f>IF(E269&gt;0,MIN(E274,E269),0)</f>
        <v>0</v>
      </c>
      <c r="F275" s="1">
        <f t="shared" ref="F275:K275" si="112">IF(F269&gt;0,MIN(F274,F269),0)</f>
        <v>0</v>
      </c>
      <c r="G275" s="1">
        <f t="shared" si="112"/>
        <v>57140</v>
      </c>
      <c r="H275" s="1">
        <f t="shared" si="112"/>
        <v>1233760</v>
      </c>
      <c r="I275" s="1">
        <f t="shared" si="112"/>
        <v>2622460</v>
      </c>
      <c r="J275" s="1">
        <f t="shared" si="112"/>
        <v>0</v>
      </c>
      <c r="K275" s="1">
        <f t="shared" si="112"/>
        <v>0</v>
      </c>
    </row>
    <row r="276" spans="1:11" ht="14.5" hidden="1" outlineLevel="1" thickBot="1" x14ac:dyDescent="0.35">
      <c r="A276" s="67" t="s">
        <v>102</v>
      </c>
      <c r="B276" s="67"/>
      <c r="C276" s="67"/>
      <c r="D276" s="67"/>
      <c r="E276" s="66">
        <f>E274-E275</f>
        <v>2573040</v>
      </c>
      <c r="F276" s="66">
        <f t="shared" ref="F276:K276" si="113">F274-F275</f>
        <v>3913360</v>
      </c>
      <c r="G276" s="66">
        <f t="shared" si="113"/>
        <v>3856220</v>
      </c>
      <c r="H276" s="66">
        <f t="shared" si="113"/>
        <v>2622460</v>
      </c>
      <c r="I276" s="66">
        <f t="shared" si="113"/>
        <v>0</v>
      </c>
      <c r="J276" s="66">
        <f t="shared" si="113"/>
        <v>0</v>
      </c>
      <c r="K276" s="66">
        <f t="shared" si="113"/>
        <v>0</v>
      </c>
    </row>
    <row r="277" spans="1:11" ht="14.5" hidden="1" outlineLevel="1" thickTop="1" x14ac:dyDescent="0.3"/>
    <row r="278" spans="1:11" hidden="1" outlineLevel="1" x14ac:dyDescent="0.3">
      <c r="A278" s="4" t="s">
        <v>125</v>
      </c>
    </row>
    <row r="279" spans="1:11" hidden="1" outlineLevel="1" x14ac:dyDescent="0.3">
      <c r="A279" s="54" t="s">
        <v>121</v>
      </c>
      <c r="B279" s="55"/>
      <c r="C279" s="55"/>
      <c r="D279" s="55"/>
      <c r="E279" s="49">
        <f>E134</f>
        <v>-2573040</v>
      </c>
      <c r="F279" s="49">
        <f t="shared" ref="F279:K279" si="114">F134</f>
        <v>-1340320</v>
      </c>
      <c r="G279" s="49">
        <f t="shared" si="114"/>
        <v>57140</v>
      </c>
      <c r="H279" s="49">
        <f t="shared" si="114"/>
        <v>1233760</v>
      </c>
      <c r="I279" s="49">
        <f t="shared" si="114"/>
        <v>2782080</v>
      </c>
      <c r="J279" s="49">
        <f t="shared" si="114"/>
        <v>4941600</v>
      </c>
      <c r="K279" s="49">
        <f t="shared" si="114"/>
        <v>5738560</v>
      </c>
    </row>
    <row r="280" spans="1:11" hidden="1" outlineLevel="1" x14ac:dyDescent="0.3">
      <c r="A280" s="54" t="s">
        <v>68</v>
      </c>
      <c r="B280" s="55"/>
      <c r="C280" s="55"/>
      <c r="D280" s="55"/>
      <c r="E280" s="49">
        <f>E133</f>
        <v>0</v>
      </c>
      <c r="F280" s="49">
        <f t="shared" ref="F280:K280" si="115">F133</f>
        <v>0</v>
      </c>
      <c r="G280" s="49">
        <f t="shared" si="115"/>
        <v>0</v>
      </c>
      <c r="H280" s="49">
        <f t="shared" si="115"/>
        <v>0</v>
      </c>
      <c r="I280" s="49">
        <f t="shared" si="115"/>
        <v>0</v>
      </c>
      <c r="J280" s="49">
        <f t="shared" si="115"/>
        <v>0</v>
      </c>
      <c r="K280" s="49">
        <f t="shared" si="115"/>
        <v>0</v>
      </c>
    </row>
    <row r="281" spans="1:11" ht="14.5" hidden="1" outlineLevel="1" thickBot="1" x14ac:dyDescent="0.35">
      <c r="A281" s="67" t="s">
        <v>115</v>
      </c>
      <c r="B281" s="67"/>
      <c r="C281" s="67"/>
      <c r="D281" s="67"/>
      <c r="E281" s="66">
        <f>SUM(E279:E280)</f>
        <v>-2573040</v>
      </c>
      <c r="F281" s="66">
        <f t="shared" ref="F281:K281" si="116">SUM(F279:F280)</f>
        <v>-1340320</v>
      </c>
      <c r="G281" s="66">
        <f t="shared" si="116"/>
        <v>57140</v>
      </c>
      <c r="H281" s="66">
        <f t="shared" si="116"/>
        <v>1233760</v>
      </c>
      <c r="I281" s="66">
        <f t="shared" si="116"/>
        <v>2782080</v>
      </c>
      <c r="J281" s="66">
        <f t="shared" si="116"/>
        <v>4941600</v>
      </c>
      <c r="K281" s="66">
        <f t="shared" si="116"/>
        <v>5738560</v>
      </c>
    </row>
    <row r="282" spans="1:11" ht="14.5" hidden="1" outlineLevel="1" thickTop="1" x14ac:dyDescent="0.3">
      <c r="A282" s="54" t="s">
        <v>122</v>
      </c>
      <c r="B282" s="55"/>
      <c r="C282" s="55"/>
      <c r="D282" s="55"/>
      <c r="E282" s="49">
        <f>IF(E276&gt;0,0,(E281-E275)*E104)</f>
        <v>0</v>
      </c>
      <c r="F282" s="49">
        <f t="shared" ref="F282:K282" si="117">IF(F276&gt;0,0,(F281-F275)*F104)</f>
        <v>0</v>
      </c>
      <c r="G282" s="49">
        <f t="shared" si="117"/>
        <v>0</v>
      </c>
      <c r="H282" s="49">
        <f t="shared" si="117"/>
        <v>0</v>
      </c>
      <c r="I282" s="49">
        <f t="shared" si="117"/>
        <v>39905</v>
      </c>
      <c r="J282" s="49">
        <f t="shared" si="117"/>
        <v>1235400</v>
      </c>
      <c r="K282" s="49">
        <f t="shared" si="117"/>
        <v>1434640</v>
      </c>
    </row>
    <row r="283" spans="1:11" hidden="1" outlineLevel="1" x14ac:dyDescent="0.3">
      <c r="A283" s="54" t="s">
        <v>132</v>
      </c>
      <c r="B283" s="55"/>
      <c r="C283" s="55"/>
      <c r="D283" s="55"/>
      <c r="E283" s="49">
        <f>E210</f>
        <v>500000</v>
      </c>
      <c r="F283" s="49">
        <f t="shared" ref="F283:K283" si="118">F210</f>
        <v>100000</v>
      </c>
      <c r="G283" s="49">
        <f t="shared" si="118"/>
        <v>100000</v>
      </c>
      <c r="H283" s="49">
        <f t="shared" si="118"/>
        <v>550000</v>
      </c>
      <c r="I283" s="49">
        <f t="shared" si="118"/>
        <v>250000</v>
      </c>
      <c r="J283" s="49">
        <f t="shared" si="118"/>
        <v>1100000</v>
      </c>
      <c r="K283" s="49">
        <f t="shared" si="118"/>
        <v>600000</v>
      </c>
    </row>
    <row r="284" spans="1:11" hidden="1" outlineLevel="1" x14ac:dyDescent="0.3">
      <c r="A284" s="54" t="s">
        <v>123</v>
      </c>
      <c r="B284" s="55"/>
      <c r="C284" s="55"/>
      <c r="D284" s="55"/>
      <c r="E284" s="49">
        <f>E132</f>
        <v>100000</v>
      </c>
      <c r="F284" s="49">
        <f t="shared" ref="F284:K284" si="119">F132</f>
        <v>120000</v>
      </c>
      <c r="G284" s="49">
        <f t="shared" si="119"/>
        <v>140000</v>
      </c>
      <c r="H284" s="49">
        <f t="shared" si="119"/>
        <v>250000</v>
      </c>
      <c r="I284" s="49">
        <f t="shared" si="119"/>
        <v>300000</v>
      </c>
      <c r="J284" s="49">
        <f t="shared" si="119"/>
        <v>420000</v>
      </c>
      <c r="K284" s="49">
        <f t="shared" si="119"/>
        <v>520000</v>
      </c>
    </row>
    <row r="285" spans="1:11" hidden="1" outlineLevel="1" x14ac:dyDescent="0.3">
      <c r="A285" s="54" t="s">
        <v>161</v>
      </c>
      <c r="B285" s="55"/>
      <c r="C285" s="55"/>
      <c r="D285" s="55"/>
      <c r="E285" s="49">
        <f>E175+E176-E177</f>
        <v>72313.972602739814</v>
      </c>
      <c r="F285" s="49">
        <f t="shared" ref="F285:K285" si="120">F175+F176-F177</f>
        <v>289533.6986301369</v>
      </c>
      <c r="G285" s="49">
        <f t="shared" si="120"/>
        <v>434653.9726027397</v>
      </c>
      <c r="H285" s="49">
        <f t="shared" si="120"/>
        <v>732196.43835616438</v>
      </c>
      <c r="I285" s="49">
        <f t="shared" si="120"/>
        <v>573938.63013698638</v>
      </c>
      <c r="J285" s="49">
        <f t="shared" si="120"/>
        <v>806623.56164383539</v>
      </c>
      <c r="K285" s="49">
        <f t="shared" si="120"/>
        <v>567111.78082191804</v>
      </c>
    </row>
    <row r="286" spans="1:11" ht="14.5" hidden="1" outlineLevel="1" thickBot="1" x14ac:dyDescent="0.35">
      <c r="A286" s="67" t="s">
        <v>124</v>
      </c>
      <c r="B286" s="67"/>
      <c r="C286" s="67"/>
      <c r="D286" s="67"/>
      <c r="E286" s="66">
        <f>E281-E282-E283+E284-E285</f>
        <v>-3045353.9726027399</v>
      </c>
      <c r="F286" s="66">
        <f t="shared" ref="F286:K286" si="121">F281-F282-F283+F284-F285</f>
        <v>-1609853.6986301369</v>
      </c>
      <c r="G286" s="66">
        <f t="shared" si="121"/>
        <v>-337513.9726027397</v>
      </c>
      <c r="H286" s="66">
        <f t="shared" si="121"/>
        <v>201563.56164383562</v>
      </c>
      <c r="I286" s="66">
        <f t="shared" si="121"/>
        <v>2218236.3698630137</v>
      </c>
      <c r="J286" s="66">
        <f t="shared" si="121"/>
        <v>2219576.4383561648</v>
      </c>
      <c r="K286" s="66">
        <f t="shared" si="121"/>
        <v>3656808.219178082</v>
      </c>
    </row>
    <row r="287" spans="1:11" ht="14.5" hidden="1" outlineLevel="1" thickTop="1" x14ac:dyDescent="0.3"/>
    <row r="288" spans="1:11" s="30" customFormat="1" ht="18" hidden="1" customHeight="1" outlineLevel="1" x14ac:dyDescent="0.35">
      <c r="A288" s="113" t="s">
        <v>127</v>
      </c>
      <c r="B288" s="114"/>
      <c r="C288" s="115"/>
      <c r="D288" s="115"/>
      <c r="E288" s="115"/>
      <c r="F288" s="115"/>
      <c r="K288" s="116"/>
    </row>
    <row r="289" spans="1:18" hidden="1" outlineLevel="1" x14ac:dyDescent="0.3">
      <c r="A289" s="104" t="s">
        <v>128</v>
      </c>
      <c r="B289" s="104"/>
      <c r="C289" s="104"/>
      <c r="D289" s="105">
        <f>D105</f>
        <v>0.2</v>
      </c>
      <c r="E289" s="104">
        <f>NPV(D289,E286:K286)</f>
        <v>-1098525.7046375759</v>
      </c>
      <c r="F289" s="104"/>
    </row>
    <row r="290" spans="1:18" hidden="1" outlineLevel="1" x14ac:dyDescent="0.3">
      <c r="A290" s="104" t="s">
        <v>143</v>
      </c>
      <c r="B290" s="104"/>
      <c r="C290" s="104"/>
      <c r="D290" s="106">
        <f>D106</f>
        <v>8</v>
      </c>
      <c r="E290" s="104">
        <f>D290*K129</f>
        <v>50068480</v>
      </c>
      <c r="F290" s="104"/>
    </row>
    <row r="291" spans="1:18" hidden="1" outlineLevel="1" x14ac:dyDescent="0.3">
      <c r="A291" s="104" t="s">
        <v>129</v>
      </c>
      <c r="B291" s="104"/>
      <c r="C291" s="104"/>
      <c r="D291" s="107"/>
      <c r="E291" s="112">
        <f>E290/(1+D289)^(COUNTA(E2:K2))</f>
        <v>13973193.872885233</v>
      </c>
      <c r="F291" s="104"/>
    </row>
    <row r="292" spans="1:18" hidden="1" outlineLevel="1" x14ac:dyDescent="0.3">
      <c r="A292" s="103" t="s">
        <v>130</v>
      </c>
      <c r="B292" s="103"/>
      <c r="C292" s="103"/>
      <c r="D292" s="103"/>
      <c r="E292" s="111">
        <f>E289+E291</f>
        <v>12874668.168247657</v>
      </c>
      <c r="F292" s="104"/>
    </row>
    <row r="293" spans="1:18" hidden="1" outlineLevel="1" x14ac:dyDescent="0.3">
      <c r="A293" s="104"/>
      <c r="B293" s="104"/>
      <c r="C293" s="104"/>
      <c r="D293" s="104"/>
      <c r="E293" s="104"/>
      <c r="F293" s="104"/>
    </row>
    <row r="294" spans="1:18" hidden="1" outlineLevel="1" x14ac:dyDescent="0.3">
      <c r="A294" s="103" t="s">
        <v>167</v>
      </c>
      <c r="B294" s="103"/>
      <c r="C294" s="103"/>
      <c r="D294" s="103"/>
      <c r="E294" s="108">
        <f>E292/F110</f>
        <v>1.6711666885056669</v>
      </c>
      <c r="F294" s="104"/>
    </row>
    <row r="295" spans="1:18" hidden="1" outlineLevel="1" x14ac:dyDescent="0.3">
      <c r="A295" s="103"/>
      <c r="B295" s="103"/>
      <c r="C295" s="103"/>
      <c r="D295" s="103"/>
      <c r="E295" s="108"/>
      <c r="F295" s="104"/>
    </row>
    <row r="296" spans="1:18" hidden="1" outlineLevel="1" x14ac:dyDescent="0.3">
      <c r="A296" s="103" t="s">
        <v>135</v>
      </c>
      <c r="B296" s="103"/>
      <c r="C296" s="103"/>
      <c r="D296" s="103"/>
      <c r="E296" s="109">
        <f>1-(E100/(E292+E100))</f>
        <v>0.72027452745209897</v>
      </c>
      <c r="F296" s="104"/>
    </row>
    <row r="297" spans="1:18" hidden="1" outlineLevel="1" x14ac:dyDescent="0.3">
      <c r="A297" s="103"/>
      <c r="B297" s="103"/>
      <c r="C297" s="103"/>
      <c r="D297" s="103"/>
      <c r="E297" s="110"/>
      <c r="F297" s="104"/>
    </row>
    <row r="298" spans="1:18" collapsed="1" x14ac:dyDescent="0.3"/>
    <row r="299" spans="1:18" s="14" customFormat="1" ht="19" customHeight="1" x14ac:dyDescent="0.35">
      <c r="A299" s="31" t="s">
        <v>145</v>
      </c>
      <c r="B299" s="32"/>
      <c r="C299" s="32"/>
      <c r="D299" s="33"/>
      <c r="E299" s="33"/>
      <c r="F299" s="33"/>
      <c r="G299" s="33"/>
      <c r="H299" s="33"/>
      <c r="I299" s="33"/>
      <c r="J299" s="33"/>
      <c r="K299" s="33"/>
      <c r="L299" s="34"/>
      <c r="M299" s="34"/>
      <c r="N299" s="33"/>
      <c r="O299" s="33"/>
      <c r="P299" s="33"/>
      <c r="Q299" s="33"/>
      <c r="R299" s="33"/>
    </row>
    <row r="300" spans="1:18" hidden="1" outlineLevel="1" x14ac:dyDescent="0.3"/>
    <row r="301" spans="1:18" hidden="1" outlineLevel="1" x14ac:dyDescent="0.3">
      <c r="A301" s="55" t="s">
        <v>144</v>
      </c>
      <c r="B301" s="55"/>
      <c r="C301" s="55"/>
      <c r="D301" s="55"/>
      <c r="E301" s="49">
        <f>E110</f>
        <v>5478000</v>
      </c>
      <c r="F301" s="49">
        <f t="shared" ref="F301:K301" si="122">F110</f>
        <v>7704000</v>
      </c>
      <c r="G301" s="49">
        <f t="shared" si="122"/>
        <v>11778000</v>
      </c>
      <c r="H301" s="49">
        <f t="shared" si="122"/>
        <v>17724000</v>
      </c>
      <c r="I301" s="49">
        <f t="shared" si="122"/>
        <v>23940000</v>
      </c>
      <c r="J301" s="49">
        <f t="shared" si="122"/>
        <v>32736000</v>
      </c>
      <c r="K301" s="49">
        <f t="shared" si="122"/>
        <v>38862000</v>
      </c>
    </row>
    <row r="302" spans="1:18" hidden="1" outlineLevel="1" x14ac:dyDescent="0.3">
      <c r="A302" s="55" t="s">
        <v>57</v>
      </c>
      <c r="B302" s="55"/>
      <c r="C302" s="55"/>
      <c r="D302" s="55"/>
      <c r="E302" s="117">
        <f>E116</f>
        <v>0.2857142857142857</v>
      </c>
      <c r="F302" s="117">
        <f t="shared" ref="F302:K302" si="123">F116</f>
        <v>0.30555555555555558</v>
      </c>
      <c r="G302" s="117">
        <f t="shared" si="123"/>
        <v>0.33333333333333331</v>
      </c>
      <c r="H302" s="117">
        <f t="shared" si="123"/>
        <v>0.35897435897435898</v>
      </c>
      <c r="I302" s="117">
        <f t="shared" si="123"/>
        <v>0.375</v>
      </c>
      <c r="J302" s="117">
        <f t="shared" si="123"/>
        <v>0.3902439024390244</v>
      </c>
      <c r="K302" s="117">
        <f t="shared" si="123"/>
        <v>0.3902439024390244</v>
      </c>
    </row>
    <row r="303" spans="1:18" s="119" customFormat="1" hidden="1" outlineLevel="1" x14ac:dyDescent="0.3">
      <c r="A303" s="121" t="s">
        <v>146</v>
      </c>
      <c r="B303" s="121"/>
      <c r="C303" s="121"/>
      <c r="D303" s="121"/>
      <c r="E303" s="118">
        <f>E130</f>
        <v>-0.64492776300005217</v>
      </c>
      <c r="F303" s="118">
        <f t="shared" ref="F303:K303" si="124">F130</f>
        <v>-0.22000115380177684</v>
      </c>
      <c r="G303" s="118">
        <f t="shared" si="124"/>
        <v>2.2317314767645893E-2</v>
      </c>
      <c r="H303" s="118">
        <f t="shared" si="124"/>
        <v>0.10732658599957177</v>
      </c>
      <c r="I303" s="118">
        <f t="shared" si="124"/>
        <v>0.16092731829573934</v>
      </c>
      <c r="J303" s="118">
        <f t="shared" si="124"/>
        <v>0.19973535512481225</v>
      </c>
      <c r="K303" s="118">
        <f t="shared" si="124"/>
        <v>0.19639725809022796</v>
      </c>
    </row>
    <row r="304" spans="1:18" hidden="1" outlineLevel="1" x14ac:dyDescent="0.3"/>
    <row r="305" spans="1:11" hidden="1" outlineLevel="1" x14ac:dyDescent="0.3">
      <c r="A305" s="55" t="s">
        <v>156</v>
      </c>
      <c r="B305" s="55"/>
      <c r="C305" s="55"/>
      <c r="D305" s="55"/>
      <c r="E305" s="49">
        <f>E256</f>
        <v>130.13698630136986</v>
      </c>
      <c r="F305" s="49">
        <f t="shared" ref="F305:K305" si="125">F256</f>
        <v>136.9047619047619</v>
      </c>
      <c r="G305" s="49">
        <f t="shared" si="125"/>
        <v>136.9047619047619</v>
      </c>
      <c r="H305" s="49">
        <f t="shared" si="125"/>
        <v>142.85714285714286</v>
      </c>
      <c r="I305" s="49">
        <f t="shared" si="125"/>
        <v>142.85714285714286</v>
      </c>
      <c r="J305" s="49">
        <f t="shared" si="125"/>
        <v>148.8095238095238</v>
      </c>
      <c r="K305" s="49">
        <f t="shared" si="125"/>
        <v>154.76190476190476</v>
      </c>
    </row>
    <row r="306" spans="1:11" hidden="1" outlineLevel="1" x14ac:dyDescent="0.3">
      <c r="A306" s="55" t="s">
        <v>157</v>
      </c>
      <c r="B306" s="55"/>
      <c r="C306" s="55"/>
      <c r="D306" s="55"/>
      <c r="E306" s="49">
        <f>E260</f>
        <v>152</v>
      </c>
      <c r="F306" s="49">
        <f t="shared" ref="F306:K306" si="126">F260</f>
        <v>204</v>
      </c>
      <c r="G306" s="49">
        <f t="shared" si="126"/>
        <v>269</v>
      </c>
      <c r="H306" s="49">
        <f t="shared" si="126"/>
        <v>336</v>
      </c>
      <c r="I306" s="49">
        <f t="shared" si="126"/>
        <v>398</v>
      </c>
      <c r="J306" s="49">
        <f t="shared" si="126"/>
        <v>460</v>
      </c>
      <c r="K306" s="49">
        <f t="shared" si="126"/>
        <v>496</v>
      </c>
    </row>
    <row r="307" spans="1:11" hidden="1" outlineLevel="1" x14ac:dyDescent="0.3">
      <c r="A307" s="55" t="s">
        <v>155</v>
      </c>
      <c r="B307" s="55"/>
      <c r="C307" s="55"/>
      <c r="D307" s="55"/>
      <c r="E307" s="120">
        <f>E262</f>
        <v>1.1679999999999999</v>
      </c>
      <c r="F307" s="120">
        <f t="shared" ref="F307:K307" si="127">F262</f>
        <v>1.4900869565217392</v>
      </c>
      <c r="G307" s="120">
        <f t="shared" si="127"/>
        <v>1.9648695652173913</v>
      </c>
      <c r="H307" s="120">
        <f t="shared" si="127"/>
        <v>2.3519999999999999</v>
      </c>
      <c r="I307" s="120">
        <f t="shared" si="127"/>
        <v>2.786</v>
      </c>
      <c r="J307" s="120">
        <f t="shared" si="127"/>
        <v>3.0912000000000002</v>
      </c>
      <c r="K307" s="120">
        <f t="shared" si="127"/>
        <v>3.2049230769230768</v>
      </c>
    </row>
    <row r="308" spans="1:11" hidden="1" outlineLevel="1" x14ac:dyDescent="0.3"/>
    <row r="309" spans="1:11" hidden="1" outlineLevel="1" x14ac:dyDescent="0.3">
      <c r="A309" s="55" t="s">
        <v>156</v>
      </c>
      <c r="B309" s="55"/>
      <c r="C309" s="55"/>
      <c r="D309" s="55"/>
      <c r="E309" s="49">
        <f>E256</f>
        <v>130.13698630136986</v>
      </c>
      <c r="F309" s="49">
        <f t="shared" ref="F309:K309" si="128">F256</f>
        <v>136.9047619047619</v>
      </c>
      <c r="G309" s="49">
        <f t="shared" si="128"/>
        <v>136.9047619047619</v>
      </c>
      <c r="H309" s="49">
        <f t="shared" si="128"/>
        <v>142.85714285714286</v>
      </c>
      <c r="I309" s="49">
        <f t="shared" si="128"/>
        <v>142.85714285714286</v>
      </c>
      <c r="J309" s="49">
        <f t="shared" si="128"/>
        <v>148.8095238095238</v>
      </c>
      <c r="K309" s="49">
        <f t="shared" si="128"/>
        <v>154.76190476190476</v>
      </c>
    </row>
    <row r="310" spans="1:11" hidden="1" outlineLevel="1" x14ac:dyDescent="0.3">
      <c r="A310" s="55" t="s">
        <v>64</v>
      </c>
      <c r="B310" s="55"/>
      <c r="C310" s="55"/>
      <c r="D310" s="55"/>
      <c r="E310" s="49">
        <f>E258</f>
        <v>38</v>
      </c>
      <c r="F310" s="49">
        <f t="shared" ref="F310:K310" si="129">F258</f>
        <v>51</v>
      </c>
      <c r="G310" s="49">
        <f t="shared" si="129"/>
        <v>67.25</v>
      </c>
      <c r="H310" s="49">
        <f t="shared" si="129"/>
        <v>84</v>
      </c>
      <c r="I310" s="49">
        <f t="shared" si="129"/>
        <v>99.5</v>
      </c>
      <c r="J310" s="49">
        <f t="shared" si="129"/>
        <v>115</v>
      </c>
      <c r="K310" s="49">
        <f t="shared" si="129"/>
        <v>124</v>
      </c>
    </row>
    <row r="311" spans="1:11" hidden="1" outlineLevel="1" x14ac:dyDescent="0.3">
      <c r="A311" s="55" t="s">
        <v>113</v>
      </c>
      <c r="B311" s="55"/>
      <c r="C311" s="55"/>
      <c r="D311" s="55"/>
      <c r="E311" s="89">
        <f>E264</f>
        <v>3.4246575342465753</v>
      </c>
      <c r="F311" s="89">
        <f t="shared" ref="F311:K311" si="130">F264</f>
        <v>2.6844070961718018</v>
      </c>
      <c r="G311" s="89">
        <f t="shared" si="130"/>
        <v>2.0357585413347494</v>
      </c>
      <c r="H311" s="89">
        <f t="shared" si="130"/>
        <v>1.7006802721088436</v>
      </c>
      <c r="I311" s="89">
        <f t="shared" si="130"/>
        <v>1.4357501794687724</v>
      </c>
      <c r="J311" s="89">
        <f t="shared" si="130"/>
        <v>1.2939958592132503</v>
      </c>
      <c r="K311" s="89">
        <f t="shared" si="130"/>
        <v>1.2480798771121351</v>
      </c>
    </row>
    <row r="312" spans="1:11" hidden="1" outlineLevel="1" x14ac:dyDescent="0.3">
      <c r="E312" s="8"/>
      <c r="F312" s="8"/>
      <c r="G312" s="8"/>
      <c r="H312" s="8"/>
      <c r="I312" s="8"/>
      <c r="J312" s="8"/>
      <c r="K312" s="8"/>
    </row>
    <row r="313" spans="1:11" ht="14.5" hidden="1" outlineLevel="1" thickBot="1" x14ac:dyDescent="0.35">
      <c r="A313" s="67" t="s">
        <v>158</v>
      </c>
      <c r="B313" s="67"/>
      <c r="C313" s="67"/>
      <c r="D313" s="67"/>
      <c r="E313" s="66">
        <f>E178-E183</f>
        <v>-3045353.9726027395</v>
      </c>
      <c r="F313" s="66">
        <f t="shared" ref="F313:K313" si="131">F178-F183</f>
        <v>-1609853.6986301369</v>
      </c>
      <c r="G313" s="66">
        <f t="shared" si="131"/>
        <v>-351798.9726027397</v>
      </c>
      <c r="H313" s="66">
        <f t="shared" si="131"/>
        <v>-106876.43835616438</v>
      </c>
      <c r="I313" s="66">
        <f t="shared" si="131"/>
        <v>1562621.3698630137</v>
      </c>
      <c r="J313" s="66">
        <f t="shared" si="131"/>
        <v>2219576.4383561644</v>
      </c>
      <c r="K313" s="66">
        <f t="shared" si="131"/>
        <v>3656808.2191780815</v>
      </c>
    </row>
    <row r="314" spans="1:11" ht="15" hidden="1" outlineLevel="1" thickTop="1" thickBot="1" x14ac:dyDescent="0.35">
      <c r="A314" s="67" t="s">
        <v>159</v>
      </c>
      <c r="B314" s="67"/>
      <c r="C314" s="67"/>
      <c r="D314" s="67">
        <f>E100</f>
        <v>5000000</v>
      </c>
      <c r="E314" s="66">
        <f>E195</f>
        <v>1954646.0273972605</v>
      </c>
      <c r="F314" s="66">
        <f t="shared" ref="F314:K314" si="132">F195</f>
        <v>344792.32876712363</v>
      </c>
      <c r="G314" s="66">
        <f t="shared" si="132"/>
        <v>-7006.6438356160652</v>
      </c>
      <c r="H314" s="66">
        <f t="shared" si="132"/>
        <v>-113883.08219178044</v>
      </c>
      <c r="I314" s="66">
        <f t="shared" si="132"/>
        <v>1448738.2876712333</v>
      </c>
      <c r="J314" s="66">
        <f t="shared" si="132"/>
        <v>3668314.7260273974</v>
      </c>
      <c r="K314" s="66">
        <f t="shared" si="132"/>
        <v>7325122.9452054789</v>
      </c>
    </row>
    <row r="315" spans="1:11" ht="14.5" hidden="1" outlineLevel="1" thickTop="1" x14ac:dyDescent="0.3"/>
    <row r="316" spans="1:11" hidden="1" outlineLevel="1" x14ac:dyDescent="0.3"/>
    <row r="317" spans="1:11" hidden="1" outlineLevel="1" x14ac:dyDescent="0.3"/>
    <row r="318" spans="1:11" hidden="1" outlineLevel="1" x14ac:dyDescent="0.3"/>
    <row r="319" spans="1:11" hidden="1" outlineLevel="1" x14ac:dyDescent="0.3"/>
    <row r="320" spans="1:11" hidden="1" outlineLevel="1" x14ac:dyDescent="0.3"/>
    <row r="321" hidden="1" outlineLevel="1" x14ac:dyDescent="0.3"/>
    <row r="322" hidden="1" outlineLevel="1" x14ac:dyDescent="0.3"/>
    <row r="323" hidden="1" outlineLevel="1" x14ac:dyDescent="0.3"/>
    <row r="324" hidden="1" outlineLevel="1" x14ac:dyDescent="0.3"/>
    <row r="325" hidden="1" outlineLevel="1" x14ac:dyDescent="0.3"/>
    <row r="326" hidden="1" outlineLevel="1" x14ac:dyDescent="0.3"/>
    <row r="327" hidden="1" outlineLevel="1" x14ac:dyDescent="0.3"/>
    <row r="328" hidden="1" outlineLevel="1" x14ac:dyDescent="0.3"/>
    <row r="329" hidden="1" outlineLevel="1" x14ac:dyDescent="0.3"/>
    <row r="330" hidden="1" outlineLevel="1" x14ac:dyDescent="0.3"/>
    <row r="331" hidden="1" outlineLevel="1" x14ac:dyDescent="0.3"/>
    <row r="332" hidden="1" outlineLevel="1" x14ac:dyDescent="0.3"/>
    <row r="333" hidden="1" outlineLevel="1" x14ac:dyDescent="0.3"/>
    <row r="334" hidden="1" outlineLevel="1" x14ac:dyDescent="0.3"/>
    <row r="335" hidden="1" outlineLevel="1" x14ac:dyDescent="0.3"/>
    <row r="336" hidden="1" outlineLevel="1" x14ac:dyDescent="0.3"/>
    <row r="337" hidden="1" outlineLevel="1" x14ac:dyDescent="0.3"/>
    <row r="338" hidden="1" outlineLevel="1" x14ac:dyDescent="0.3"/>
    <row r="339" hidden="1" outlineLevel="1" x14ac:dyDescent="0.3"/>
    <row r="340" hidden="1" outlineLevel="1" x14ac:dyDescent="0.3"/>
    <row r="341" hidden="1" outlineLevel="1" x14ac:dyDescent="0.3"/>
    <row r="342" hidden="1" outlineLevel="1" x14ac:dyDescent="0.3"/>
    <row r="343" hidden="1" outlineLevel="1" x14ac:dyDescent="0.3"/>
    <row r="344" hidden="1" outlineLevel="1" x14ac:dyDescent="0.3"/>
    <row r="345" hidden="1" outlineLevel="1" x14ac:dyDescent="0.3"/>
    <row r="346" hidden="1" outlineLevel="1" x14ac:dyDescent="0.3"/>
    <row r="347" hidden="1" outlineLevel="1" x14ac:dyDescent="0.3"/>
    <row r="348" hidden="1" outlineLevel="1" x14ac:dyDescent="0.3"/>
    <row r="349" hidden="1" outlineLevel="1" x14ac:dyDescent="0.3"/>
    <row r="350" collapsed="1" x14ac:dyDescent="0.3"/>
  </sheetData>
  <conditionalFormatting sqref="A2:C2">
    <cfRule type="containsText" dxfId="7" priority="3" operator="containsText" text="OK">
      <formula>NOT(ISERROR(SEARCH("OK",A2)))</formula>
    </cfRule>
    <cfRule type="containsText" dxfId="6" priority="4" operator="containsText" text="ERROR">
      <formula>NOT(ISERROR(SEARCH("ERROR",A2)))</formula>
    </cfRule>
  </conditionalFormatting>
  <conditionalFormatting sqref="D3:M3">
    <cfRule type="containsText" dxfId="1" priority="1" operator="containsText" text="OK">
      <formula>NOT(ISERROR(SEARCH("OK",D3)))</formula>
    </cfRule>
    <cfRule type="containsText" dxfId="0" priority="2" operator="containsText" text="ERROR">
      <formula>NOT(ISERROR(SEARCH("ERROR",D3)))</formula>
    </cfRule>
  </conditionalFormatting>
  <pageMargins left="0.7" right="0.7" top="0.75" bottom="0.75" header="0.3" footer="0.3"/>
  <pageSetup scale="64" orientation="portrait" r:id="rId1"/>
  <ignoredErrors>
    <ignoredError sqref="E3:K3" unlockedFormula="1"/>
    <ignoredError sqref="E159:K15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Startup E-Commerce</vt:lpstr>
    </vt:vector>
  </TitlesOfParts>
  <Company>Onlineshoes.com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Kashif Javaid</cp:lastModifiedBy>
  <cp:lastPrinted>2016-06-09T21:00:03Z</cp:lastPrinted>
  <dcterms:created xsi:type="dcterms:W3CDTF">2016-03-28T18:22:40Z</dcterms:created>
  <dcterms:modified xsi:type="dcterms:W3CDTF">2019-09-23T12:12:05Z</dcterms:modified>
</cp:coreProperties>
</file>